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filterPrivacy="1" defaultThemeVersion="166925"/>
  <xr:revisionPtr revIDLastSave="0" documentId="8_{D92B75DB-2820-4E0E-8873-702E917FD3A5}" xr6:coauthVersionLast="36" xr6:coauthVersionMax="36" xr10:uidLastSave="{00000000-0000-0000-0000-000000000000}"/>
  <bookViews>
    <workbookView xWindow="0" yWindow="0" windowWidth="23040" windowHeight="8976" tabRatio="853" xr2:uid="{F9E133A9-7477-41D1-95BF-48F4AA219C61}"/>
  </bookViews>
  <sheets>
    <sheet name="別記様式第１" sheetId="1" r:id="rId1"/>
    <sheet name="申出書" sheetId="3" r:id="rId2"/>
    <sheet name="リスト" sheetId="7" r:id="rId3"/>
  </sheets>
  <definedNames>
    <definedName name="_xlnm.Print_Area" localSheetId="1">申出書!$B$3:$AE$50</definedName>
    <definedName name="_xlnm.Print_Area" localSheetId="0">別記様式第１!$C$1:$N$25</definedName>
    <definedName name="_xlnm.Print_Titles" localSheetId="0">別記様式第１!$4:$4</definedName>
    <definedName name="警察署コード">リスト!$L$3:$L$43</definedName>
    <definedName name="署コード">リスト!$L$3:$M$43</definedName>
    <definedName name="用途">リスト!$B$2:$C$11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" i="3" l="1"/>
  <c r="S48" i="3" s="1"/>
  <c r="H5" i="1"/>
  <c r="I5" i="1"/>
  <c r="J5" i="1"/>
  <c r="G5" i="1"/>
  <c r="A24" i="1" l="1"/>
  <c r="A25" i="1"/>
  <c r="E24" i="1"/>
  <c r="G24" i="1"/>
  <c r="I24" i="1"/>
  <c r="J24" i="1"/>
  <c r="L24" i="1"/>
  <c r="M24" i="1"/>
  <c r="N24" i="1"/>
  <c r="BA24" i="1"/>
  <c r="D24" i="1" s="1"/>
  <c r="BB24" i="1"/>
  <c r="BC24" i="1"/>
  <c r="BD24" i="1" s="1"/>
  <c r="AP24" i="1" s="1"/>
  <c r="BE24" i="1"/>
  <c r="BF24" i="1"/>
  <c r="H24" i="1" s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6" i="1"/>
  <c r="AZ24" i="1" l="1"/>
  <c r="G6" i="1"/>
  <c r="E5" i="1"/>
  <c r="AZ5" i="1"/>
  <c r="L5" i="1"/>
  <c r="BA5" i="1"/>
  <c r="D5" i="1" s="1"/>
  <c r="BB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5" i="1"/>
  <c r="M1" i="1" l="1"/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BE5" i="1" l="1"/>
  <c r="BF5" i="1" s="1"/>
  <c r="BE6" i="1"/>
  <c r="BF6" i="1" s="1"/>
  <c r="H6" i="1" s="1"/>
  <c r="AZ6" i="1" s="1"/>
  <c r="BE7" i="1"/>
  <c r="BF7" i="1" s="1"/>
  <c r="H7" i="1" s="1"/>
  <c r="AZ7" i="1" s="1"/>
  <c r="BE8" i="1"/>
  <c r="BF8" i="1" s="1"/>
  <c r="H8" i="1" s="1"/>
  <c r="AZ8" i="1" s="1"/>
  <c r="BE9" i="1"/>
  <c r="BF9" i="1" s="1"/>
  <c r="H9" i="1" s="1"/>
  <c r="AZ9" i="1" s="1"/>
  <c r="BE10" i="1"/>
  <c r="BF10" i="1" s="1"/>
  <c r="H10" i="1" s="1"/>
  <c r="AZ10" i="1" s="1"/>
  <c r="BE11" i="1"/>
  <c r="BF11" i="1" s="1"/>
  <c r="H11" i="1" s="1"/>
  <c r="AZ11" i="1" s="1"/>
  <c r="BE12" i="1"/>
  <c r="BF12" i="1" s="1"/>
  <c r="H12" i="1" s="1"/>
  <c r="AZ12" i="1" s="1"/>
  <c r="BE13" i="1"/>
  <c r="BF13" i="1" s="1"/>
  <c r="H13" i="1" s="1"/>
  <c r="AZ13" i="1" s="1"/>
  <c r="BE14" i="1"/>
  <c r="BF14" i="1" s="1"/>
  <c r="H14" i="1" s="1"/>
  <c r="AZ14" i="1" s="1"/>
  <c r="BE15" i="1"/>
  <c r="BF15" i="1" s="1"/>
  <c r="H15" i="1" s="1"/>
  <c r="AZ15" i="1" s="1"/>
  <c r="BE16" i="1"/>
  <c r="BF16" i="1" s="1"/>
  <c r="H16" i="1" s="1"/>
  <c r="AZ16" i="1" s="1"/>
  <c r="BE17" i="1"/>
  <c r="BF17" i="1" s="1"/>
  <c r="H17" i="1" s="1"/>
  <c r="AZ17" i="1" s="1"/>
  <c r="BE18" i="1"/>
  <c r="BF18" i="1" s="1"/>
  <c r="H18" i="1" s="1"/>
  <c r="AZ18" i="1" s="1"/>
  <c r="BE19" i="1"/>
  <c r="BF19" i="1" s="1"/>
  <c r="H19" i="1" s="1"/>
  <c r="AZ19" i="1" s="1"/>
  <c r="BE20" i="1"/>
  <c r="BF20" i="1" s="1"/>
  <c r="H20" i="1" s="1"/>
  <c r="AZ20" i="1" s="1"/>
  <c r="BE21" i="1"/>
  <c r="BF21" i="1" s="1"/>
  <c r="H21" i="1" s="1"/>
  <c r="AZ21" i="1" s="1"/>
  <c r="BE22" i="1"/>
  <c r="BF22" i="1" s="1"/>
  <c r="H22" i="1" s="1"/>
  <c r="AZ22" i="1" s="1"/>
  <c r="BE23" i="1"/>
  <c r="BF23" i="1" s="1"/>
  <c r="H23" i="1" s="1"/>
  <c r="AZ23" i="1" s="1"/>
  <c r="BE25" i="1"/>
  <c r="BF25" i="1" s="1"/>
  <c r="H25" i="1" s="1"/>
  <c r="AZ25" i="1" s="1"/>
  <c r="BC5" i="1" l="1"/>
  <c r="BC6" i="1"/>
  <c r="BD6" i="1" s="1"/>
  <c r="AP6" i="1" s="1"/>
  <c r="BC7" i="1"/>
  <c r="BD7" i="1" s="1"/>
  <c r="AP7" i="1" s="1"/>
  <c r="BC8" i="1"/>
  <c r="BD8" i="1" s="1"/>
  <c r="AP8" i="1" s="1"/>
  <c r="BC9" i="1"/>
  <c r="BD9" i="1" s="1"/>
  <c r="AP9" i="1" s="1"/>
  <c r="BC10" i="1"/>
  <c r="BD10" i="1" s="1"/>
  <c r="AP10" i="1" s="1"/>
  <c r="BC11" i="1"/>
  <c r="BD11" i="1" s="1"/>
  <c r="AP11" i="1" s="1"/>
  <c r="BC12" i="1"/>
  <c r="BD12" i="1" s="1"/>
  <c r="AP12" i="1" s="1"/>
  <c r="BC13" i="1"/>
  <c r="BD13" i="1" s="1"/>
  <c r="AP13" i="1" s="1"/>
  <c r="BC14" i="1"/>
  <c r="BD14" i="1" s="1"/>
  <c r="AP14" i="1" s="1"/>
  <c r="BC15" i="1"/>
  <c r="BD15" i="1" s="1"/>
  <c r="AP15" i="1" s="1"/>
  <c r="BC16" i="1"/>
  <c r="BD16" i="1" s="1"/>
  <c r="AP16" i="1" s="1"/>
  <c r="BC17" i="1"/>
  <c r="BD17" i="1" s="1"/>
  <c r="AP17" i="1" s="1"/>
  <c r="BC18" i="1"/>
  <c r="BD18" i="1" s="1"/>
  <c r="AP18" i="1" s="1"/>
  <c r="BC19" i="1"/>
  <c r="BD19" i="1" s="1"/>
  <c r="AP19" i="1" s="1"/>
  <c r="BC20" i="1"/>
  <c r="BD20" i="1" s="1"/>
  <c r="AP20" i="1" s="1"/>
  <c r="BC21" i="1"/>
  <c r="BD21" i="1" s="1"/>
  <c r="AP21" i="1" s="1"/>
  <c r="BC22" i="1"/>
  <c r="BD22" i="1" s="1"/>
  <c r="AP22" i="1" s="1"/>
  <c r="BC23" i="1"/>
  <c r="BD23" i="1" s="1"/>
  <c r="AP23" i="1" s="1"/>
  <c r="BC25" i="1"/>
  <c r="BD25" i="1" s="1"/>
  <c r="AP25" i="1" s="1"/>
  <c r="BD5" i="1" l="1"/>
  <c r="AP5" i="1" s="1"/>
  <c r="BA25" i="1"/>
  <c r="D25" i="1" s="1"/>
  <c r="BA23" i="1" l="1"/>
  <c r="D23" i="1" s="1"/>
  <c r="BA6" i="1" l="1"/>
  <c r="D6" i="1" s="1"/>
  <c r="BA7" i="1"/>
  <c r="D7" i="1" s="1"/>
  <c r="BA8" i="1"/>
  <c r="D8" i="1" s="1"/>
  <c r="BA9" i="1"/>
  <c r="D9" i="1" s="1"/>
  <c r="BA10" i="1"/>
  <c r="D10" i="1" s="1"/>
  <c r="BA11" i="1"/>
  <c r="D11" i="1" s="1"/>
  <c r="BA12" i="1"/>
  <c r="D12" i="1" s="1"/>
  <c r="BA13" i="1"/>
  <c r="D13" i="1" s="1"/>
  <c r="BA14" i="1"/>
  <c r="D14" i="1" s="1"/>
  <c r="BA15" i="1"/>
  <c r="D15" i="1" s="1"/>
  <c r="BA16" i="1"/>
  <c r="D16" i="1" s="1"/>
  <c r="BA17" i="1"/>
  <c r="D17" i="1" s="1"/>
  <c r="BA18" i="1"/>
  <c r="D18" i="1" s="1"/>
  <c r="BA19" i="1"/>
  <c r="D19" i="1" s="1"/>
  <c r="BA20" i="1"/>
  <c r="D20" i="1" s="1"/>
  <c r="BA21" i="1"/>
  <c r="D21" i="1" s="1"/>
  <c r="BA22" i="1"/>
  <c r="D22" i="1" s="1"/>
  <c r="BE2" i="3" l="1"/>
  <c r="BF2" i="3"/>
  <c r="BC2" i="3"/>
  <c r="BD2" i="3"/>
  <c r="AU2" i="3"/>
  <c r="W48" i="3" s="1"/>
  <c r="AX2" i="3"/>
  <c r="AO2" i="3"/>
  <c r="S40" i="3" s="1"/>
  <c r="AG2" i="3"/>
  <c r="I28" i="3" s="1"/>
  <c r="Y2" i="3"/>
  <c r="I19" i="3" s="1"/>
  <c r="Q2" i="3"/>
  <c r="H2" i="3"/>
  <c r="C2" i="3"/>
  <c r="T2" i="3"/>
  <c r="AW2" i="3"/>
  <c r="AN2" i="3"/>
  <c r="I38" i="3" s="1"/>
  <c r="AF2" i="3"/>
  <c r="W27" i="3" s="1"/>
  <c r="X2" i="3"/>
  <c r="I18" i="3" s="1"/>
  <c r="P2" i="3"/>
  <c r="U11" i="3" s="1"/>
  <c r="G2" i="3"/>
  <c r="AD2" i="3"/>
  <c r="K24" i="3" s="1"/>
  <c r="U2" i="3"/>
  <c r="J2" i="3"/>
  <c r="Z2" i="3"/>
  <c r="I20" i="3" s="1"/>
  <c r="AV2" i="3"/>
  <c r="AM2" i="3"/>
  <c r="I41" i="3" s="1"/>
  <c r="AE2" i="3"/>
  <c r="P24" i="3" s="1"/>
  <c r="W2" i="3"/>
  <c r="I17" i="3" s="1"/>
  <c r="O2" i="3"/>
  <c r="U9" i="3" s="1"/>
  <c r="F2" i="3"/>
  <c r="V2" i="3"/>
  <c r="I16" i="3" s="1"/>
  <c r="B2" i="3"/>
  <c r="AH2" i="3"/>
  <c r="P29" i="3" s="1"/>
  <c r="I47" i="3"/>
  <c r="AL2" i="3"/>
  <c r="S35" i="3" s="1"/>
  <c r="N2" i="3"/>
  <c r="M2" i="3"/>
  <c r="AS2" i="3"/>
  <c r="N46" i="3" s="1"/>
  <c r="AK2" i="3"/>
  <c r="I33" i="3" s="1"/>
  <c r="AC2" i="3"/>
  <c r="I23" i="3" s="1"/>
  <c r="K2" i="3"/>
  <c r="AP2" i="3"/>
  <c r="AR2" i="3"/>
  <c r="I45" i="3" s="1"/>
  <c r="AJ2" i="3"/>
  <c r="I36" i="3" s="1"/>
  <c r="AB2" i="3"/>
  <c r="I22" i="3" s="1"/>
  <c r="I2" i="3"/>
  <c r="AQ2" i="3"/>
  <c r="I44" i="3" s="1"/>
  <c r="AI2" i="3"/>
  <c r="I31" i="3" s="1"/>
  <c r="AA2" i="3"/>
  <c r="I21" i="3" s="1"/>
  <c r="S2" i="3"/>
  <c r="R2" i="3"/>
  <c r="L2" i="3"/>
  <c r="AY2" i="3"/>
  <c r="I48" i="3" s="1"/>
  <c r="BB2" i="3"/>
  <c r="T5" i="3" s="1"/>
  <c r="E2" i="3"/>
  <c r="AB5" i="3" l="1"/>
  <c r="Y5" i="3"/>
  <c r="V5" i="3"/>
  <c r="BA2" i="3" l="1"/>
  <c r="I13" i="3" s="1"/>
  <c r="AZ2" i="3"/>
  <c r="D2" i="3" l="1"/>
</calcChain>
</file>

<file path=xl/sharedStrings.xml><?xml version="1.0" encoding="utf-8"?>
<sst xmlns="http://schemas.openxmlformats.org/spreadsheetml/2006/main" count="338" uniqueCount="247">
  <si>
    <t>受理年月日</t>
    <rPh sb="0" eb="2">
      <t>ジュリ</t>
    </rPh>
    <rPh sb="2" eb="5">
      <t>ネンガッピ</t>
    </rPh>
    <phoneticPr fontId="1"/>
  </si>
  <si>
    <t>番号標に表示されている番号</t>
    <rPh sb="0" eb="2">
      <t>バンゴウ</t>
    </rPh>
    <rPh sb="2" eb="3">
      <t>ヒョウ</t>
    </rPh>
    <rPh sb="4" eb="6">
      <t>ヒョウジ</t>
    </rPh>
    <rPh sb="11" eb="13">
      <t>バンゴウ</t>
    </rPh>
    <phoneticPr fontId="1"/>
  </si>
  <si>
    <t>車両の使用者氏名又は名称</t>
    <rPh sb="0" eb="2">
      <t>シャリョウ</t>
    </rPh>
    <rPh sb="3" eb="6">
      <t>シヨウシャ</t>
    </rPh>
    <rPh sb="6" eb="8">
      <t>シメイ</t>
    </rPh>
    <rPh sb="8" eb="9">
      <t>マタ</t>
    </rPh>
    <rPh sb="10" eb="12">
      <t>メイショウ</t>
    </rPh>
    <phoneticPr fontId="1"/>
  </si>
  <si>
    <t>交付年月日</t>
    <rPh sb="0" eb="2">
      <t>コウフ</t>
    </rPh>
    <rPh sb="2" eb="5">
      <t>ネンガッピ</t>
    </rPh>
    <phoneticPr fontId="1"/>
  </si>
  <si>
    <t>備考</t>
    <rPh sb="0" eb="2">
      <t>ビコウ</t>
    </rPh>
    <phoneticPr fontId="1"/>
  </si>
  <si>
    <t xml:space="preserve"> 交付番号</t>
    <rPh sb="1" eb="3">
      <t>コウフ</t>
    </rPh>
    <rPh sb="3" eb="5">
      <t>バンゴウ</t>
    </rPh>
    <phoneticPr fontId="1"/>
  </si>
  <si>
    <t>別記様式第１</t>
    <rPh sb="0" eb="2">
      <t>ベッキ</t>
    </rPh>
    <rPh sb="2" eb="4">
      <t>ヨウシキ</t>
    </rPh>
    <rPh sb="4" eb="5">
      <t>ダイ</t>
    </rPh>
    <phoneticPr fontId="1"/>
  </si>
  <si>
    <t>申請者（住所）</t>
    <rPh sb="0" eb="3">
      <t>シンセイシャ</t>
    </rPh>
    <rPh sb="4" eb="6">
      <t>ジュウショ</t>
    </rPh>
    <phoneticPr fontId="1"/>
  </si>
  <si>
    <t>申請者（氏名）</t>
    <rPh sb="0" eb="3">
      <t>シンセイシャ</t>
    </rPh>
    <rPh sb="4" eb="6">
      <t>シメイ</t>
    </rPh>
    <phoneticPr fontId="1"/>
  </si>
  <si>
    <t>用途（その他・備考）</t>
    <rPh sb="0" eb="2">
      <t>ヨウト</t>
    </rPh>
    <rPh sb="5" eb="6">
      <t>タ</t>
    </rPh>
    <rPh sb="7" eb="9">
      <t>ビコウ</t>
    </rPh>
    <phoneticPr fontId="1"/>
  </si>
  <si>
    <t>有効期限</t>
    <rPh sb="0" eb="2">
      <t>ユウコウ</t>
    </rPh>
    <rPh sb="2" eb="4">
      <t>キゲン</t>
    </rPh>
    <phoneticPr fontId="1"/>
  </si>
  <si>
    <t>用途コード</t>
    <rPh sb="0" eb="2">
      <t>ヨウト</t>
    </rPh>
    <phoneticPr fontId="1"/>
  </si>
  <si>
    <t>車両使用者
住所</t>
    <rPh sb="0" eb="2">
      <t>シャリョウ</t>
    </rPh>
    <rPh sb="2" eb="5">
      <t>シヨウシャ</t>
    </rPh>
    <rPh sb="6" eb="8">
      <t>ジュウショ</t>
    </rPh>
    <phoneticPr fontId="1"/>
  </si>
  <si>
    <t>活動地域</t>
    <rPh sb="0" eb="2">
      <t>カツドウ</t>
    </rPh>
    <rPh sb="2" eb="4">
      <t>チイキ</t>
    </rPh>
    <phoneticPr fontId="1"/>
  </si>
  <si>
    <t>指定機関
コード</t>
    <rPh sb="0" eb="2">
      <t>シテイ</t>
    </rPh>
    <rPh sb="2" eb="4">
      <t>キカン</t>
    </rPh>
    <phoneticPr fontId="1"/>
  </si>
  <si>
    <t>委託
（委託：１）</t>
    <rPh sb="0" eb="2">
      <t>イタク</t>
    </rPh>
    <rPh sb="4" eb="6">
      <t>イタク</t>
    </rPh>
    <phoneticPr fontId="1"/>
  </si>
  <si>
    <t>廃止
（廃止：１）</t>
    <rPh sb="0" eb="2">
      <t>ハイシ</t>
    </rPh>
    <rPh sb="4" eb="6">
      <t>ハイシ</t>
    </rPh>
    <phoneticPr fontId="1"/>
  </si>
  <si>
    <t>自動反映
交付番号</t>
    <rPh sb="0" eb="2">
      <t>ジドウ</t>
    </rPh>
    <rPh sb="2" eb="4">
      <t>ハンエイ</t>
    </rPh>
    <rPh sb="5" eb="7">
      <t>コウフ</t>
    </rPh>
    <rPh sb="7" eb="9">
      <t>バンゴウ</t>
    </rPh>
    <phoneticPr fontId="1"/>
  </si>
  <si>
    <t>自動反映
登録番号</t>
    <rPh sb="0" eb="2">
      <t>ジドウ</t>
    </rPh>
    <rPh sb="2" eb="4">
      <t>ハンエイ</t>
    </rPh>
    <rPh sb="5" eb="7">
      <t>トウロク</t>
    </rPh>
    <rPh sb="7" eb="9">
      <t>バンゴウ</t>
    </rPh>
    <phoneticPr fontId="1"/>
  </si>
  <si>
    <t>備考　用紙は、日本産業規格Ａ４とする。</t>
    <phoneticPr fontId="1"/>
  </si>
  <si>
    <t>１事前の申出　２規制実施後の申出</t>
    <rPh sb="1" eb="3">
      <t>ジゼン</t>
    </rPh>
    <rPh sb="4" eb="6">
      <t>モウシデ</t>
    </rPh>
    <rPh sb="8" eb="10">
      <t>キセイ</t>
    </rPh>
    <rPh sb="10" eb="12">
      <t>ジッシ</t>
    </rPh>
    <rPh sb="12" eb="13">
      <t>ゴ</t>
    </rPh>
    <rPh sb="14" eb="16">
      <t>モウシデ</t>
    </rPh>
    <phoneticPr fontId="1"/>
  </si>
  <si>
    <t>・</t>
    <phoneticPr fontId="1"/>
  </si>
  <si>
    <t>１協定・委託（委託等の場合は「１」を記入　委託等ではない場合は「０」を記入）</t>
    <rPh sb="1" eb="3">
      <t>キョウテイ</t>
    </rPh>
    <rPh sb="4" eb="6">
      <t>イタク</t>
    </rPh>
    <rPh sb="7" eb="9">
      <t>イタク</t>
    </rPh>
    <rPh sb="9" eb="10">
      <t>ナド</t>
    </rPh>
    <rPh sb="11" eb="13">
      <t>バアイ</t>
    </rPh>
    <rPh sb="18" eb="20">
      <t>キニュウ</t>
    </rPh>
    <rPh sb="21" eb="23">
      <t>イタク</t>
    </rPh>
    <rPh sb="23" eb="24">
      <t>ナド</t>
    </rPh>
    <rPh sb="28" eb="30">
      <t>バアイ</t>
    </rPh>
    <rPh sb="35" eb="37">
      <t>キニュウ</t>
    </rPh>
    <phoneticPr fontId="1"/>
  </si>
  <si>
    <t>・</t>
  </si>
  <si>
    <t>年</t>
    <rPh sb="0" eb="1">
      <t>ネン</t>
    </rPh>
    <phoneticPr fontId="1"/>
  </si>
  <si>
    <t xml:space="preserve"> 氏名又
 は名称</t>
    <phoneticPr fontId="1"/>
  </si>
  <si>
    <t xml:space="preserve"> 車両の
 使用者</t>
    <phoneticPr fontId="1"/>
  </si>
  <si>
    <t xml:space="preserve"> 活　動　地　域</t>
    <phoneticPr fontId="1"/>
  </si>
  <si>
    <t>日用雑貨品</t>
  </si>
  <si>
    <t>衣料・寝具</t>
  </si>
  <si>
    <t>飲料水・食料</t>
  </si>
  <si>
    <t>犯罪の予防、交通規制、社会秩序の維持</t>
  </si>
  <si>
    <t>清掃、防疫その他保護衛生等の措置</t>
  </si>
  <si>
    <t>施設、設備の応急復旧（整備・点検）</t>
  </si>
  <si>
    <t>児童・生徒の応急教育（教材運搬等）</t>
    <rPh sb="11" eb="13">
      <t>キョウザイ</t>
    </rPh>
    <rPh sb="13" eb="15">
      <t>ウンパン</t>
    </rPh>
    <rPh sb="15" eb="16">
      <t>ナド</t>
    </rPh>
    <phoneticPr fontId="7"/>
  </si>
  <si>
    <t>救難（救護）、救助その他保護</t>
  </si>
  <si>
    <t>消防、水防その他の応急措置</t>
  </si>
  <si>
    <t>警報（地震予知情報）の発令、伝達、避難の勧告、指示</t>
  </si>
  <si>
    <t>ア</t>
    <phoneticPr fontId="1"/>
  </si>
  <si>
    <t xml:space="preserve"> 車両の用途（緊
 急輸送を行う車
 両にあっては、
 輸送人員又は品
 名)</t>
    <phoneticPr fontId="1"/>
  </si>
  <si>
    <t xml:space="preserve"> 番号標に表示さ
 れている番号</t>
    <phoneticPr fontId="1"/>
  </si>
  <si>
    <t>日</t>
  </si>
  <si>
    <t>月</t>
    <phoneticPr fontId="1"/>
  </si>
  <si>
    <t>年</t>
  </si>
  <si>
    <t>ケ</t>
  </si>
  <si>
    <t>緊急輸送確保のための措置</t>
  </si>
  <si>
    <t>ク</t>
  </si>
  <si>
    <t>キ</t>
  </si>
  <si>
    <t>カ</t>
  </si>
  <si>
    <t>オ</t>
  </si>
  <si>
    <t>エ</t>
  </si>
  <si>
    <t>ウ</t>
  </si>
  <si>
    <t>イ</t>
  </si>
  <si>
    <t>千葉</t>
    <rPh sb="0" eb="2">
      <t>チバ</t>
    </rPh>
    <phoneticPr fontId="1"/>
  </si>
  <si>
    <t>５００</t>
    <phoneticPr fontId="1"/>
  </si>
  <si>
    <t>あ</t>
    <phoneticPr fontId="1"/>
  </si>
  <si>
    <t>１２４３</t>
    <phoneticPr fontId="1"/>
  </si>
  <si>
    <t>千葉県知事</t>
    <rPh sb="0" eb="3">
      <t>チバケン</t>
    </rPh>
    <rPh sb="3" eb="5">
      <t>チジ</t>
    </rPh>
    <phoneticPr fontId="1"/>
  </si>
  <si>
    <t>00001</t>
    <phoneticPr fontId="1"/>
  </si>
  <si>
    <t>千葉市中央区市場１－１</t>
    <rPh sb="0" eb="3">
      <t>チバシ</t>
    </rPh>
    <rPh sb="3" eb="6">
      <t>チュウオウク</t>
    </rPh>
    <rPh sb="6" eb="8">
      <t>イチバ</t>
    </rPh>
    <phoneticPr fontId="1"/>
  </si>
  <si>
    <t>(043)223局0000番</t>
    <rPh sb="8" eb="9">
      <t>キョク</t>
    </rPh>
    <rPh sb="13" eb="14">
      <t>バン</t>
    </rPh>
    <phoneticPr fontId="1"/>
  </si>
  <si>
    <t>用途</t>
    <rPh sb="0" eb="2">
      <t>ヨウト</t>
    </rPh>
    <phoneticPr fontId="1"/>
  </si>
  <si>
    <t>指定機関名</t>
    <rPh sb="0" eb="2">
      <t>シテイ</t>
    </rPh>
    <rPh sb="2" eb="4">
      <t>キカン</t>
    </rPh>
    <rPh sb="4" eb="5">
      <t>メイ</t>
    </rPh>
    <phoneticPr fontId="1"/>
  </si>
  <si>
    <t>千葉県</t>
    <rPh sb="0" eb="3">
      <t>チバケン</t>
    </rPh>
    <phoneticPr fontId="1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</si>
  <si>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</si>
  <si>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</si>
  <si>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</si>
  <si>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</si>
  <si>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</si>
  <si>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</si>
  <si>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</si>
  <si>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</si>
  <si>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</si>
  <si>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</si>
  <si>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人数</t>
    <rPh sb="0" eb="2">
      <t>ニンズウ</t>
    </rPh>
    <phoneticPr fontId="1"/>
  </si>
  <si>
    <t>指定機関名:</t>
    <rPh sb="0" eb="2">
      <t>シテイ</t>
    </rPh>
    <rPh sb="2" eb="4">
      <t>キカン</t>
    </rPh>
    <rPh sb="4" eb="5">
      <t>メイ</t>
    </rPh>
    <phoneticPr fontId="1"/>
  </si>
  <si>
    <r>
      <t xml:space="preserve">用途(
</t>
    </r>
    <r>
      <rPr>
        <sz val="9"/>
        <color theme="1"/>
        <rFont val="ＭＳ Ｐ明朝"/>
        <family val="1"/>
        <charset val="128"/>
      </rPr>
      <t>（人数・品名等）</t>
    </r>
    <rPh sb="0" eb="2">
      <t>ヨウト</t>
    </rPh>
    <rPh sb="5" eb="7">
      <t>ニンズウ</t>
    </rPh>
    <rPh sb="8" eb="10">
      <t>ヒンメイ</t>
    </rPh>
    <rPh sb="10" eb="11">
      <t>ナド</t>
    </rPh>
    <phoneticPr fontId="1"/>
  </si>
  <si>
    <t>再交付
（再交付：１）</t>
    <rPh sb="0" eb="3">
      <t>サイコウフ</t>
    </rPh>
    <rPh sb="5" eb="8">
      <t>サイコウフ</t>
    </rPh>
    <phoneticPr fontId="1"/>
  </si>
  <si>
    <r>
      <rPr>
        <sz val="11"/>
        <color theme="1"/>
        <rFont val="ＭＳ Ｐ明朝"/>
        <family val="1"/>
        <charset val="128"/>
      </rPr>
      <t>備考</t>
    </r>
    <r>
      <rPr>
        <sz val="10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（用途コード・内容等）</t>
    </r>
    <rPh sb="0" eb="2">
      <t>ビコウ</t>
    </rPh>
    <rPh sb="4" eb="6">
      <t>ヨウト</t>
    </rPh>
    <rPh sb="10" eb="12">
      <t>ナイヨウ</t>
    </rPh>
    <rPh sb="12" eb="13">
      <t>ナド</t>
    </rPh>
    <phoneticPr fontId="1"/>
  </si>
  <si>
    <t>緊急通行車両確認証明書交付簿</t>
    <phoneticPr fontId="1"/>
  </si>
  <si>
    <t>申出者（住所）</t>
    <rPh sb="0" eb="2">
      <t>モウシデ</t>
    </rPh>
    <rPh sb="2" eb="3">
      <t>シャ</t>
    </rPh>
    <rPh sb="4" eb="6">
      <t>ジュウショ</t>
    </rPh>
    <phoneticPr fontId="1"/>
  </si>
  <si>
    <t>申出者（氏名）</t>
    <rPh sb="0" eb="2">
      <t>モウシデ</t>
    </rPh>
    <rPh sb="2" eb="3">
      <t>シャ</t>
    </rPh>
    <rPh sb="4" eb="6">
      <t>シメイ</t>
    </rPh>
    <phoneticPr fontId="1"/>
  </si>
  <si>
    <t>列11</t>
  </si>
  <si>
    <t>列12</t>
  </si>
  <si>
    <t>列13</t>
  </si>
  <si>
    <t>番号標に表示されている番号</t>
    <phoneticPr fontId="1"/>
  </si>
  <si>
    <t>番号標に表示されている番号2</t>
    <rPh sb="0" eb="2">
      <t>バンゴウヒョウ2</t>
    </rPh>
    <phoneticPr fontId="1"/>
  </si>
  <si>
    <t>車両使用者
住所2</t>
    <rPh sb="0" eb="2">
      <t>シャリョウシヨウシャ2</t>
    </rPh>
    <phoneticPr fontId="1"/>
  </si>
  <si>
    <t>車両使用者
氏名</t>
    <rPh sb="0" eb="2">
      <t>シャリョウ</t>
    </rPh>
    <rPh sb="2" eb="5">
      <t>シヨウシャ</t>
    </rPh>
    <rPh sb="6" eb="8">
      <t>シメイ</t>
    </rPh>
    <phoneticPr fontId="1"/>
  </si>
  <si>
    <t>車両使用者
電話番号</t>
    <rPh sb="6" eb="8">
      <t>デンワ</t>
    </rPh>
    <rPh sb="8" eb="10">
      <t>バンゴウ</t>
    </rPh>
    <phoneticPr fontId="1"/>
  </si>
  <si>
    <t>車両使用者
電話番号</t>
    <rPh sb="0" eb="2">
      <t>シャリョウ</t>
    </rPh>
    <rPh sb="2" eb="5">
      <t>シヨウシャ</t>
    </rPh>
    <rPh sb="6" eb="8">
      <t>デンワ</t>
    </rPh>
    <rPh sb="8" eb="10">
      <t>バンゴウ</t>
    </rPh>
    <phoneticPr fontId="1"/>
  </si>
  <si>
    <t>緊急連絡先　氏名</t>
    <rPh sb="0" eb="2">
      <t>キンキュウ</t>
    </rPh>
    <rPh sb="2" eb="5">
      <t>レンラクサキ</t>
    </rPh>
    <rPh sb="6" eb="8">
      <t>シメイ</t>
    </rPh>
    <phoneticPr fontId="1"/>
  </si>
  <si>
    <t>緊急連絡先　住所</t>
    <rPh sb="0" eb="2">
      <t>キンキュウ</t>
    </rPh>
    <rPh sb="2" eb="5">
      <t>レンラクサキ</t>
    </rPh>
    <rPh sb="6" eb="8">
      <t>ジュウショ</t>
    </rPh>
    <phoneticPr fontId="1"/>
  </si>
  <si>
    <t>緊急連絡先電話番号</t>
    <rPh sb="0" eb="2">
      <t>キンキュウ</t>
    </rPh>
    <rPh sb="2" eb="5">
      <t>レンラクサキ</t>
    </rPh>
    <rPh sb="5" eb="7">
      <t>デンワ</t>
    </rPh>
    <rPh sb="7" eb="9">
      <t>バンゴウ</t>
    </rPh>
    <phoneticPr fontId="1"/>
  </si>
  <si>
    <t>列102</t>
  </si>
  <si>
    <t>申出書
提出日</t>
    <rPh sb="0" eb="3">
      <t>モウシデショ</t>
    </rPh>
    <rPh sb="4" eb="6">
      <t>テイシュツ</t>
    </rPh>
    <rPh sb="6" eb="7">
      <t>ビ</t>
    </rPh>
    <phoneticPr fontId="1"/>
  </si>
  <si>
    <t>緊急通行車両確認申出　入力シート</t>
    <rPh sb="0" eb="2">
      <t>キンキュウ</t>
    </rPh>
    <rPh sb="2" eb="4">
      <t>ツウコウ</t>
    </rPh>
    <rPh sb="4" eb="6">
      <t>シャリョウ</t>
    </rPh>
    <rPh sb="6" eb="8">
      <t>カクニン</t>
    </rPh>
    <rPh sb="8" eb="10">
      <t>モウシデ</t>
    </rPh>
    <rPh sb="11" eb="13">
      <t>ニュウリョク</t>
    </rPh>
    <phoneticPr fontId="1"/>
  </si>
  <si>
    <r>
      <t xml:space="preserve">登録番号
</t>
    </r>
    <r>
      <rPr>
        <sz val="9"/>
        <color theme="1"/>
        <rFont val="ＭＳ Ｐ明朝"/>
        <family val="1"/>
        <charset val="128"/>
      </rPr>
      <t>（確認用自動反映）</t>
    </r>
    <rPh sb="0" eb="2">
      <t>トウロク</t>
    </rPh>
    <rPh sb="2" eb="4">
      <t>バンゴウ</t>
    </rPh>
    <rPh sb="6" eb="9">
      <t>カクニンヨウ</t>
    </rPh>
    <rPh sb="9" eb="11">
      <t>ジドウ</t>
    </rPh>
    <rPh sb="11" eb="13">
      <t>ハンエイ</t>
    </rPh>
    <phoneticPr fontId="1"/>
  </si>
  <si>
    <t>建築資材等</t>
  </si>
  <si>
    <t>医療品</t>
  </si>
  <si>
    <t>別記様式第3(第6条関係)</t>
    <phoneticPr fontId="1"/>
  </si>
  <si>
    <t>緊急通行車両確認申出書</t>
  </si>
  <si>
    <t>申出者</t>
    <phoneticPr fontId="1"/>
  </si>
  <si>
    <t>習志野</t>
    <rPh sb="0" eb="3">
      <t>ナラシノ</t>
    </rPh>
    <phoneticPr fontId="1"/>
  </si>
  <si>
    <t>野田</t>
    <rPh sb="0" eb="2">
      <t>ノダ</t>
    </rPh>
    <phoneticPr fontId="1"/>
  </si>
  <si>
    <t>袖ケ浦</t>
    <rPh sb="0" eb="3">
      <t>ソデガウラ</t>
    </rPh>
    <phoneticPr fontId="1"/>
  </si>
  <si>
    <t>成田</t>
    <rPh sb="0" eb="2">
      <t>ナリタ</t>
    </rPh>
    <phoneticPr fontId="1"/>
  </si>
  <si>
    <t>市川</t>
    <rPh sb="0" eb="2">
      <t>イチカワ</t>
    </rPh>
    <phoneticPr fontId="1"/>
  </si>
  <si>
    <t>船橋</t>
    <rPh sb="0" eb="2">
      <t>フナバシ</t>
    </rPh>
    <phoneticPr fontId="1"/>
  </si>
  <si>
    <t>柏</t>
    <rPh sb="0" eb="1">
      <t>カシワ</t>
    </rPh>
    <phoneticPr fontId="1"/>
  </si>
  <si>
    <t>松戸</t>
    <rPh sb="0" eb="2">
      <t>マツド</t>
    </rPh>
    <phoneticPr fontId="1"/>
  </si>
  <si>
    <t>市原</t>
    <rPh sb="0" eb="2">
      <t>イチハラ</t>
    </rPh>
    <phoneticPr fontId="1"/>
  </si>
  <si>
    <t>クの内容</t>
    <phoneticPr fontId="1"/>
  </si>
  <si>
    <t>ナンバーリスト</t>
    <phoneticPr fontId="1"/>
  </si>
  <si>
    <t>緊急輸送
内容コード</t>
    <rPh sb="0" eb="2">
      <t>キンキュウ</t>
    </rPh>
    <rPh sb="2" eb="4">
      <t>ユソウ</t>
    </rPh>
    <rPh sb="5" eb="7">
      <t>ナイヨウ</t>
    </rPh>
    <phoneticPr fontId="1"/>
  </si>
  <si>
    <t>用途（その他）
の内容</t>
    <rPh sb="0" eb="2">
      <t>ヨウト</t>
    </rPh>
    <rPh sb="5" eb="6">
      <t>タ</t>
    </rPh>
    <rPh sb="9" eb="11">
      <t>ナイヨウ</t>
    </rPh>
    <phoneticPr fontId="1"/>
  </si>
  <si>
    <t>事前：１
規制後：２</t>
    <rPh sb="0" eb="2">
      <t>ジゼン</t>
    </rPh>
    <rPh sb="5" eb="8">
      <t>キセイゴ</t>
    </rPh>
    <phoneticPr fontId="1"/>
  </si>
  <si>
    <t>住　所</t>
    <phoneticPr fontId="1"/>
  </si>
  <si>
    <t>氏　名</t>
    <phoneticPr fontId="1"/>
  </si>
  <si>
    <t>元号</t>
    <rPh sb="0" eb="2">
      <t>ゲンゴウ</t>
    </rPh>
    <phoneticPr fontId="1"/>
  </si>
  <si>
    <t>(043)223番0000局</t>
    <phoneticPr fontId="1"/>
  </si>
  <si>
    <t>緊急輸送
人員</t>
    <rPh sb="0" eb="2">
      <t>キンキュウ</t>
    </rPh>
    <rPh sb="2" eb="4">
      <t>ユソウ</t>
    </rPh>
    <rPh sb="5" eb="7">
      <t>ジンイン</t>
    </rPh>
    <phoneticPr fontId="1"/>
  </si>
  <si>
    <t>番号</t>
    <rPh sb="0" eb="2">
      <t>バンゴウ</t>
    </rPh>
    <phoneticPr fontId="1"/>
  </si>
  <si>
    <t>シート「申出書」のA2に入力</t>
    <phoneticPr fontId="1"/>
  </si>
  <si>
    <t>その他災害発生の防禦、拡大防止等</t>
    <phoneticPr fontId="1"/>
  </si>
  <si>
    <t>千葉県公安委員会　殿</t>
    <rPh sb="0" eb="3">
      <t>チバケン</t>
    </rPh>
    <phoneticPr fontId="1"/>
  </si>
  <si>
    <t>ア</t>
  </si>
  <si>
    <t>その他災害発生の防禦、拡大防止等</t>
  </si>
  <si>
    <t>　備 　　  考　</t>
    <phoneticPr fontId="1"/>
  </si>
  <si>
    <t xml:space="preserve"> 住   所</t>
    <phoneticPr fontId="1"/>
  </si>
  <si>
    <t>廃止年月日</t>
    <rPh sb="0" eb="2">
      <t>ハイシ</t>
    </rPh>
    <rPh sb="2" eb="5">
      <t>ネンガッピ</t>
    </rPh>
    <phoneticPr fontId="1"/>
  </si>
  <si>
    <t>委託
（委託：２）</t>
  </si>
  <si>
    <t>委託等 期間</t>
    <rPh sb="0" eb="2">
      <t>イタク</t>
    </rPh>
    <rPh sb="2" eb="3">
      <t>ナド</t>
    </rPh>
    <rPh sb="4" eb="6">
      <t>キカン</t>
    </rPh>
    <phoneticPr fontId="1"/>
  </si>
  <si>
    <t>列14</t>
  </si>
  <si>
    <t>列15</t>
  </si>
  <si>
    <t>列16</t>
  </si>
  <si>
    <t>列17</t>
  </si>
  <si>
    <t>列18</t>
  </si>
  <si>
    <t>列19</t>
  </si>
  <si>
    <t>列20</t>
  </si>
  <si>
    <t>イ　消防・水防</t>
    <rPh sb="2" eb="4">
      <t>ショウボウ</t>
    </rPh>
    <rPh sb="5" eb="6">
      <t>スイ</t>
    </rPh>
    <rPh sb="6" eb="7">
      <t>ボウ</t>
    </rPh>
    <phoneticPr fontId="1"/>
  </si>
  <si>
    <t>ア　警報の発令</t>
    <rPh sb="2" eb="4">
      <t>ケイホウ</t>
    </rPh>
    <rPh sb="5" eb="7">
      <t>ハツレイ</t>
    </rPh>
    <phoneticPr fontId="1"/>
  </si>
  <si>
    <t>ウ　救難・救護</t>
    <rPh sb="2" eb="4">
      <t>キュウナン</t>
    </rPh>
    <rPh sb="5" eb="7">
      <t>キュウゴ</t>
    </rPh>
    <phoneticPr fontId="1"/>
  </si>
  <si>
    <t>エ　応急教育</t>
    <rPh sb="2" eb="4">
      <t>オウキュウ</t>
    </rPh>
    <rPh sb="4" eb="6">
      <t>キョウイク</t>
    </rPh>
    <phoneticPr fontId="1"/>
  </si>
  <si>
    <t>オ　施設応急復旧</t>
    <rPh sb="2" eb="4">
      <t>シセツ</t>
    </rPh>
    <rPh sb="4" eb="6">
      <t>オウキュウ</t>
    </rPh>
    <rPh sb="6" eb="8">
      <t>フッキュウ</t>
    </rPh>
    <phoneticPr fontId="1"/>
  </si>
  <si>
    <t>カ　清掃・衛生</t>
    <rPh sb="2" eb="4">
      <t>セイソウ</t>
    </rPh>
    <rPh sb="5" eb="7">
      <t>エイセイ</t>
    </rPh>
    <phoneticPr fontId="1"/>
  </si>
  <si>
    <t>列152</t>
  </si>
  <si>
    <t>キ　犯罪予防</t>
    <rPh sb="2" eb="4">
      <t>ハンザイ</t>
    </rPh>
    <rPh sb="4" eb="6">
      <t>ヨボウ</t>
    </rPh>
    <phoneticPr fontId="1"/>
  </si>
  <si>
    <t>ク　緊急輸送</t>
    <rPh sb="2" eb="4">
      <t>キンキュウ</t>
    </rPh>
    <rPh sb="4" eb="6">
      <t>ユソウ</t>
    </rPh>
    <phoneticPr fontId="1"/>
  </si>
  <si>
    <t>ケ　その他</t>
    <rPh sb="4" eb="5">
      <t>タ</t>
    </rPh>
    <phoneticPr fontId="1"/>
  </si>
  <si>
    <t>○</t>
  </si>
  <si>
    <t>列21</t>
  </si>
  <si>
    <t>緊急輸送（その他）の内容</t>
    <rPh sb="0" eb="2">
      <t>キンキュウ</t>
    </rPh>
    <rPh sb="2" eb="4">
      <t>ユソウ</t>
    </rPh>
    <rPh sb="7" eb="8">
      <t>タ</t>
    </rPh>
    <rPh sb="10" eb="12">
      <t>ナイヨウ</t>
    </rPh>
    <phoneticPr fontId="1"/>
  </si>
  <si>
    <t>車両の用途（該当事項に○、複数ある場合はそれぞれに○を記入。用途が「ク　緊急輸送」，「ケ　その他」の場合はその内容を記載）</t>
    <rPh sb="0" eb="2">
      <t>シャリョウ</t>
    </rPh>
    <rPh sb="3" eb="5">
      <t>ヨウト</t>
    </rPh>
    <rPh sb="6" eb="8">
      <t>ガイトウ</t>
    </rPh>
    <rPh sb="8" eb="10">
      <t>ジコウ</t>
    </rPh>
    <rPh sb="13" eb="15">
      <t>フクスウ</t>
    </rPh>
    <rPh sb="17" eb="19">
      <t>バアイ</t>
    </rPh>
    <rPh sb="27" eb="29">
      <t>キニュウ</t>
    </rPh>
    <rPh sb="30" eb="32">
      <t>ヨウト</t>
    </rPh>
    <rPh sb="36" eb="38">
      <t>キンキュウ</t>
    </rPh>
    <rPh sb="38" eb="40">
      <t>ユソウ</t>
    </rPh>
    <rPh sb="47" eb="48">
      <t>タ</t>
    </rPh>
    <rPh sb="50" eb="52">
      <t>バアイ</t>
    </rPh>
    <rPh sb="55" eb="57">
      <t>ナイヨウ</t>
    </rPh>
    <rPh sb="58" eb="60">
      <t>キサイ</t>
    </rPh>
    <phoneticPr fontId="1"/>
  </si>
  <si>
    <t>列42</t>
  </si>
  <si>
    <t>主たる車両の用途コード</t>
    <rPh sb="0" eb="1">
      <t>シュ</t>
    </rPh>
    <rPh sb="3" eb="5">
      <t>シャリョウ</t>
    </rPh>
    <rPh sb="6" eb="8">
      <t>ヨウト</t>
    </rPh>
    <phoneticPr fontId="1"/>
  </si>
  <si>
    <t>その他（</t>
    <phoneticPr fontId="1"/>
  </si>
  <si>
    <t>）</t>
    <phoneticPr fontId="1"/>
  </si>
  <si>
    <t>緊急輸送（</t>
    <phoneticPr fontId="1"/>
  </si>
  <si>
    <t>人）</t>
    <phoneticPr fontId="1"/>
  </si>
  <si>
    <t>　　（具体的内容：</t>
    <rPh sb="3" eb="6">
      <t>グタイテキ</t>
    </rPh>
    <rPh sb="6" eb="8">
      <t>ナイヨウ</t>
    </rPh>
    <phoneticPr fontId="1"/>
  </si>
  <si>
    <t>緊急輸送</t>
    <phoneticPr fontId="1"/>
  </si>
  <si>
    <t>その他</t>
    <phoneticPr fontId="1"/>
  </si>
  <si>
    <r>
      <t>該当項目の</t>
    </r>
    <r>
      <rPr>
        <sz val="12"/>
        <color theme="1"/>
        <rFont val="ＭＳ Ｐ明朝"/>
        <family val="1"/>
        <charset val="128"/>
      </rPr>
      <t>□</t>
    </r>
    <r>
      <rPr>
        <sz val="11"/>
        <color theme="1"/>
        <rFont val="ＭＳ Ｐ明朝"/>
        <family val="1"/>
        <charset val="128"/>
      </rPr>
      <t>に数字を記入、「指定機関名」具体的機関名を記入</t>
    </r>
    <rPh sb="7" eb="9">
      <t>スウジ</t>
    </rPh>
    <rPh sb="14" eb="16">
      <t>シテイ</t>
    </rPh>
    <rPh sb="16" eb="18">
      <t>キカン</t>
    </rPh>
    <rPh sb="18" eb="19">
      <t>メイ</t>
    </rPh>
    <rPh sb="20" eb="23">
      <t>グタイテキ</t>
    </rPh>
    <rPh sb="23" eb="26">
      <t>キカンメイ</t>
    </rPh>
    <rPh sb="27" eb="29">
      <t>キニュウ</t>
    </rPh>
    <phoneticPr fontId="1"/>
  </si>
  <si>
    <r>
      <t>該当項目の</t>
    </r>
    <r>
      <rPr>
        <sz val="14"/>
        <color theme="1"/>
        <rFont val="ＭＳ Ｐ明朝"/>
        <family val="1"/>
        <charset val="128"/>
      </rPr>
      <t>□</t>
    </r>
    <r>
      <rPr>
        <sz val="12"/>
        <color theme="1"/>
        <rFont val="ＭＳ Ｐ明朝"/>
        <family val="1"/>
        <charset val="128"/>
      </rPr>
      <t>に「○」を記入、「ク 緊急輸送」の場合、</t>
    </r>
    <r>
      <rPr>
        <b/>
        <sz val="16"/>
        <color theme="1"/>
        <rFont val="ＤＦ特太ゴシック体"/>
        <family val="3"/>
        <charset val="128"/>
      </rPr>
      <t>□</t>
    </r>
    <r>
      <rPr>
        <sz val="12"/>
        <color theme="1"/>
        <rFont val="ＭＳ Ｐ明朝"/>
        <family val="1"/>
        <charset val="128"/>
      </rPr>
      <t>に数字を記入</t>
    </r>
    <rPh sb="0" eb="2">
      <t>ガイトウ</t>
    </rPh>
    <rPh sb="2" eb="4">
      <t>コウモク</t>
    </rPh>
    <rPh sb="11" eb="13">
      <t>キニュウ</t>
    </rPh>
    <rPh sb="17" eb="19">
      <t>キンキュウ</t>
    </rPh>
    <rPh sb="19" eb="21">
      <t>ユソウ</t>
    </rPh>
    <rPh sb="23" eb="25">
      <t>バアイ</t>
    </rPh>
    <rPh sb="28" eb="30">
      <t>スウジ</t>
    </rPh>
    <rPh sb="31" eb="33">
      <t>キニュウ</t>
    </rPh>
    <phoneticPr fontId="1"/>
  </si>
  <si>
    <t>緊  急 
連絡先</t>
    <rPh sb="0" eb="1">
      <t>キン</t>
    </rPh>
    <rPh sb="3" eb="4">
      <t>キュウ</t>
    </rPh>
    <rPh sb="6" eb="9">
      <t>レンラクサキ</t>
    </rPh>
    <phoneticPr fontId="1"/>
  </si>
  <si>
    <t>列22</t>
    <phoneticPr fontId="1"/>
  </si>
  <si>
    <t>５年後</t>
    <rPh sb="1" eb="3">
      <t>ネンゴ</t>
    </rPh>
    <phoneticPr fontId="1"/>
  </si>
  <si>
    <t>列23</t>
    <phoneticPr fontId="1"/>
  </si>
  <si>
    <t>契約期間と５年の短い方</t>
    <rPh sb="0" eb="2">
      <t>ケイヤク</t>
    </rPh>
    <rPh sb="2" eb="4">
      <t>キカン</t>
    </rPh>
    <rPh sb="6" eb="7">
      <t>ネン</t>
    </rPh>
    <rPh sb="8" eb="9">
      <t>ミジカ</t>
    </rPh>
    <rPh sb="10" eb="11">
      <t>ホウ</t>
    </rPh>
    <phoneticPr fontId="1"/>
  </si>
  <si>
    <t>「ク」の場合は、内容コードを入力シート「AD列」に記載</t>
    <rPh sb="4" eb="6">
      <t>バアイ</t>
    </rPh>
    <rPh sb="8" eb="10">
      <t>ナイヨウ</t>
    </rPh>
    <rPh sb="14" eb="16">
      <t>ニュウリョク</t>
    </rPh>
    <rPh sb="22" eb="23">
      <t>レツ</t>
    </rPh>
    <rPh sb="25" eb="27">
      <t>キサイ</t>
    </rPh>
    <phoneticPr fontId="1"/>
  </si>
  <si>
    <t>「ケ」の場合は、具体的内容を入力シート「AH列」に記載</t>
    <rPh sb="4" eb="6">
      <t>バアイ</t>
    </rPh>
    <rPh sb="8" eb="11">
      <t>グタイテキ</t>
    </rPh>
    <rPh sb="11" eb="13">
      <t>ナイヨウ</t>
    </rPh>
    <rPh sb="14" eb="16">
      <t>ニュウリョク</t>
    </rPh>
    <rPh sb="22" eb="23">
      <t>レツ</t>
    </rPh>
    <rPh sb="25" eb="27">
      <t>キサイ</t>
    </rPh>
    <phoneticPr fontId="1"/>
  </si>
  <si>
    <t>00002</t>
  </si>
  <si>
    <t>00003</t>
  </si>
  <si>
    <t>00004</t>
  </si>
  <si>
    <t>「１」の場合は、人数をを入力シート「AE列」に記載</t>
    <rPh sb="4" eb="6">
      <t>バアイ</t>
    </rPh>
    <rPh sb="8" eb="10">
      <t>ニンズウ</t>
    </rPh>
    <rPh sb="12" eb="14">
      <t>ニュウリョク</t>
    </rPh>
    <rPh sb="20" eb="21">
      <t>レツ</t>
    </rPh>
    <rPh sb="23" eb="25">
      <t>キサイ</t>
    </rPh>
    <phoneticPr fontId="1"/>
  </si>
  <si>
    <t>「７」の場合は、具体的内容を入力シート「AF列」に記載</t>
    <rPh sb="4" eb="6">
      <t>バアイ</t>
    </rPh>
    <rPh sb="8" eb="11">
      <t>グタイテキ</t>
    </rPh>
    <rPh sb="11" eb="13">
      <t>ナイヨウ</t>
    </rPh>
    <rPh sb="14" eb="16">
      <t>ニュウリョク</t>
    </rPh>
    <rPh sb="22" eb="23">
      <t>レツ</t>
    </rPh>
    <rPh sb="25" eb="27">
      <t>キサイ</t>
    </rPh>
    <phoneticPr fontId="1"/>
  </si>
  <si>
    <t>列24</t>
  </si>
  <si>
    <t>根拠法令</t>
    <rPh sb="0" eb="2">
      <t>コンキョ</t>
    </rPh>
    <rPh sb="2" eb="4">
      <t>ホウレイ</t>
    </rPh>
    <phoneticPr fontId="1"/>
  </si>
  <si>
    <t>１災害対策基本法　２原子力災害対策基本法　３国民保護法</t>
    <rPh sb="1" eb="3">
      <t>サイガイ</t>
    </rPh>
    <rPh sb="3" eb="5">
      <t>タイサク</t>
    </rPh>
    <rPh sb="5" eb="8">
      <t>キホンホウ</t>
    </rPh>
    <rPh sb="10" eb="13">
      <t>ゲンシリョク</t>
    </rPh>
    <rPh sb="13" eb="15">
      <t>サイガイ</t>
    </rPh>
    <rPh sb="15" eb="17">
      <t>タイサク</t>
    </rPh>
    <rPh sb="17" eb="20">
      <t>キホンホウ</t>
    </rPh>
    <rPh sb="22" eb="24">
      <t>コクミン</t>
    </rPh>
    <rPh sb="24" eb="27">
      <t>ホゴホウ</t>
    </rPh>
    <phoneticPr fontId="1"/>
  </si>
  <si>
    <t>令和</t>
    <rPh sb="0" eb="2">
      <t>レイワ</t>
    </rPh>
    <phoneticPr fontId="1"/>
  </si>
  <si>
    <t>交付簿の年用</t>
    <rPh sb="0" eb="2">
      <t>コウフ</t>
    </rPh>
    <rPh sb="2" eb="3">
      <t>ボ</t>
    </rPh>
    <rPh sb="4" eb="5">
      <t>ネン</t>
    </rPh>
    <rPh sb="5" eb="6">
      <t>ヨウ</t>
    </rPh>
    <phoneticPr fontId="1"/>
  </si>
  <si>
    <t>署</t>
    <phoneticPr fontId="1"/>
  </si>
  <si>
    <t>警察署名</t>
    <rPh sb="0" eb="3">
      <t>ケイサツショ</t>
    </rPh>
    <rPh sb="3" eb="4">
      <t>メイ</t>
    </rPh>
    <phoneticPr fontId="1"/>
  </si>
  <si>
    <t>コード</t>
    <phoneticPr fontId="1"/>
  </si>
  <si>
    <t>千葉中央</t>
    <rPh sb="0" eb="2">
      <t>チバ</t>
    </rPh>
    <rPh sb="2" eb="4">
      <t>チュウオウ</t>
    </rPh>
    <phoneticPr fontId="1"/>
  </si>
  <si>
    <t xml:space="preserve"> 警察署別コード</t>
    <phoneticPr fontId="1"/>
  </si>
  <si>
    <t xml:space="preserve">区分 </t>
    <phoneticPr fontId="1"/>
  </si>
  <si>
    <t>６桁コード</t>
    <phoneticPr fontId="1"/>
  </si>
  <si>
    <t>千葉中央</t>
    <phoneticPr fontId="1"/>
  </si>
  <si>
    <t>千葉東</t>
    <phoneticPr fontId="1"/>
  </si>
  <si>
    <t>千葉西</t>
    <phoneticPr fontId="1"/>
  </si>
  <si>
    <t>千葉南</t>
    <phoneticPr fontId="1"/>
  </si>
  <si>
    <t>千葉北</t>
    <phoneticPr fontId="1"/>
  </si>
  <si>
    <t>習志野</t>
    <phoneticPr fontId="1"/>
  </si>
  <si>
    <t>八千代</t>
    <phoneticPr fontId="1"/>
  </si>
  <si>
    <t>船橋東</t>
    <phoneticPr fontId="1"/>
  </si>
  <si>
    <t>船橋</t>
  </si>
  <si>
    <t>鎌ケ谷</t>
    <phoneticPr fontId="1"/>
  </si>
  <si>
    <t>市川</t>
  </si>
  <si>
    <t>行徳</t>
  </si>
  <si>
    <t>浦安</t>
  </si>
  <si>
    <t>松戸</t>
  </si>
  <si>
    <t>松戸東</t>
    <phoneticPr fontId="1"/>
  </si>
  <si>
    <t>野田</t>
  </si>
  <si>
    <t>柏</t>
    <phoneticPr fontId="1"/>
  </si>
  <si>
    <t>流山</t>
  </si>
  <si>
    <t>我孫子</t>
    <phoneticPr fontId="1"/>
  </si>
  <si>
    <t>佐倉</t>
  </si>
  <si>
    <t>四街道</t>
    <phoneticPr fontId="1"/>
  </si>
  <si>
    <t>成田</t>
  </si>
  <si>
    <t>成田国際空港</t>
    <phoneticPr fontId="1"/>
  </si>
  <si>
    <t>印西</t>
  </si>
  <si>
    <t>香取</t>
  </si>
  <si>
    <t>銚子</t>
  </si>
  <si>
    <t>旭</t>
    <phoneticPr fontId="1"/>
  </si>
  <si>
    <t>匝瑳</t>
  </si>
  <si>
    <t>山武</t>
  </si>
  <si>
    <t>東金</t>
  </si>
  <si>
    <t>茂原</t>
  </si>
  <si>
    <t>いすみ</t>
    <phoneticPr fontId="1"/>
  </si>
  <si>
    <t>勝浦</t>
  </si>
  <si>
    <t>市原</t>
  </si>
  <si>
    <t>木更津</t>
    <phoneticPr fontId="1"/>
  </si>
  <si>
    <t>君津</t>
  </si>
  <si>
    <t>富津</t>
  </si>
  <si>
    <t>館山</t>
  </si>
  <si>
    <t>鴨川</t>
  </si>
  <si>
    <t>高速道路交通警察隊</t>
    <phoneticPr fontId="1"/>
  </si>
  <si>
    <t>警察署名</t>
    <phoneticPr fontId="1"/>
  </si>
  <si>
    <t>コード１</t>
    <phoneticPr fontId="1"/>
  </si>
  <si>
    <t>列25</t>
    <phoneticPr fontId="1"/>
  </si>
  <si>
    <t>列26</t>
    <phoneticPr fontId="1"/>
  </si>
  <si>
    <t>列27</t>
    <phoneticPr fontId="1"/>
  </si>
  <si>
    <t>清掃、防疫その他公衆衛生等の措置</t>
    <rPh sb="8" eb="10">
      <t>コウシュウ</t>
    </rPh>
    <phoneticPr fontId="1"/>
  </si>
  <si>
    <t>１指定行政機関 　２指定公共機関　 ３指定地方行政機関　 ４指定地方公共機関　 ５地方公共団体</t>
    <rPh sb="1" eb="3">
      <t>シテイ</t>
    </rPh>
    <rPh sb="3" eb="5">
      <t>ギョウセイ</t>
    </rPh>
    <rPh sb="5" eb="7">
      <t>キカン</t>
    </rPh>
    <rPh sb="10" eb="12">
      <t>シテイ</t>
    </rPh>
    <rPh sb="12" eb="14">
      <t>コウキョウ</t>
    </rPh>
    <rPh sb="14" eb="16">
      <t>キカン</t>
    </rPh>
    <rPh sb="19" eb="21">
      <t>シテイ</t>
    </rPh>
    <rPh sb="21" eb="23">
      <t>チホウ</t>
    </rPh>
    <rPh sb="23" eb="25">
      <t>ギョウセイ</t>
    </rPh>
    <rPh sb="25" eb="27">
      <t>キカン</t>
    </rPh>
    <rPh sb="30" eb="32">
      <t>シテイ</t>
    </rPh>
    <rPh sb="32" eb="34">
      <t>チホウ</t>
    </rPh>
    <rPh sb="34" eb="36">
      <t>コウキョウ</t>
    </rPh>
    <rPh sb="36" eb="38">
      <t>キカン</t>
    </rPh>
    <rPh sb="41" eb="43">
      <t>チホウ</t>
    </rPh>
    <rPh sb="43" eb="45">
      <t>コウキョウ</t>
    </rPh>
    <rPh sb="45" eb="47">
      <t>ダンタイ</t>
    </rPh>
    <phoneticPr fontId="1"/>
  </si>
  <si>
    <t>申請方法</t>
    <rPh sb="0" eb="2">
      <t>シンセイ</t>
    </rPh>
    <rPh sb="2" eb="4">
      <t>ホウホウ</t>
    </rPh>
    <phoneticPr fontId="1"/>
  </si>
  <si>
    <t>事前届出の有無</t>
    <rPh sb="0" eb="2">
      <t>ジゼン</t>
    </rPh>
    <rPh sb="2" eb="4">
      <t>トドケデ</t>
    </rPh>
    <rPh sb="5" eb="7">
      <t>ウム</t>
    </rPh>
    <phoneticPr fontId="1"/>
  </si>
  <si>
    <t>列28</t>
  </si>
  <si>
    <t>列29</t>
  </si>
  <si>
    <t>見本</t>
    <rPh sb="0" eb="2">
      <t>ミホン</t>
    </rPh>
    <phoneticPr fontId="1"/>
  </si>
  <si>
    <t>千葉県、茨城県</t>
    <rPh sb="0" eb="3">
      <t>チバケン</t>
    </rPh>
    <rPh sb="4" eb="7">
      <t>イバラキケン</t>
    </rPh>
    <phoneticPr fontId="1"/>
  </si>
  <si>
    <t>千葉県●●課</t>
    <rPh sb="0" eb="3">
      <t>チバケン</t>
    </rPh>
    <rPh sb="5" eb="6">
      <t>カ</t>
    </rPh>
    <phoneticPr fontId="1"/>
  </si>
  <si>
    <t>千葉市中央区市場町１－１</t>
    <rPh sb="0" eb="3">
      <t>チバシ</t>
    </rPh>
    <rPh sb="3" eb="5">
      <t>チュウオウ</t>
    </rPh>
    <rPh sb="5" eb="6">
      <t>ク</t>
    </rPh>
    <rPh sb="6" eb="9">
      <t>イチバチョウ</t>
    </rPh>
    <phoneticPr fontId="1"/>
  </si>
  <si>
    <t>千葉市中央区市場町１－１</t>
    <rPh sb="0" eb="3">
      <t>チバシ</t>
    </rPh>
    <rPh sb="3" eb="6">
      <t>チュウオウク</t>
    </rPh>
    <rPh sb="6" eb="9">
      <t>イチバチョウ</t>
    </rPh>
    <phoneticPr fontId="1"/>
  </si>
  <si>
    <t>見本</t>
    <rPh sb="0" eb="2">
      <t>ミホン</t>
    </rPh>
    <phoneticPr fontId="1"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</si>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</sst>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);[Red]\(0\)"/>
    <numFmt numFmtId="177" formatCode="[$-411]ge\.m\.d;@"/>
    <numFmt numFmtId="178" formatCode="0;\-0;;@"/>
    <numFmt numFmtId="179" formatCode="e"/>
    <numFmt numFmtId="180" formatCode="m"/>
    <numFmt numFmtId="181" formatCode="d"/>
    <numFmt numFmtId="182" formatCode="0_ "/>
    <numFmt numFmtId="183" formatCode="#"/>
    <numFmt numFmtId="184" formatCode="yy"/>
    <numFmt numFmtId="185" formatCode="[$-411]ggge&quot;年&quot;m&quot;月&quot;d&quot;日&quot;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16"/>
      <color theme="1"/>
      <name val="ＤＦ特太ゴシック体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177" fontId="3" fillId="0" borderId="0" xfId="0" applyNumberFormat="1" applyFont="1" applyAlignment="1">
      <alignment horizontal="right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wrapText="1"/>
    </xf>
    <xf numFmtId="177" fontId="5" fillId="0" borderId="14" xfId="0" applyNumberFormat="1" applyFont="1" applyBorder="1" applyAlignment="1">
      <alignment horizontal="center" vertical="center" shrinkToFit="1"/>
    </xf>
    <xf numFmtId="0" fontId="8" fillId="0" borderId="0" xfId="0" applyNumberFormat="1" applyFont="1">
      <alignment vertical="center"/>
    </xf>
    <xf numFmtId="0" fontId="6" fillId="0" borderId="0" xfId="0" applyNumberFormat="1" applyFont="1" applyBorder="1" applyAlignment="1">
      <alignment horizontal="right"/>
    </xf>
    <xf numFmtId="0" fontId="0" fillId="0" borderId="1" xfId="0" applyBorder="1">
      <alignment vertical="center"/>
    </xf>
    <xf numFmtId="49" fontId="3" fillId="0" borderId="3" xfId="0" applyNumberFormat="1" applyFont="1" applyBorder="1" applyAlignment="1">
      <alignment horizontal="left" vertical="center" shrinkToFit="1"/>
    </xf>
    <xf numFmtId="178" fontId="3" fillId="0" borderId="3" xfId="0" applyNumberFormat="1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0" fontId="4" fillId="0" borderId="14" xfId="0" applyNumberFormat="1" applyFont="1" applyBorder="1" applyAlignment="1">
      <alignment horizontal="left" vertical="center" shrinkToFit="1"/>
    </xf>
    <xf numFmtId="0" fontId="4" fillId="0" borderId="14" xfId="0" applyNumberFormat="1" applyFont="1" applyBorder="1" applyAlignment="1">
      <alignment horizontal="right" vertical="center" shrinkToFit="1"/>
    </xf>
    <xf numFmtId="0" fontId="4" fillId="0" borderId="14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49" fontId="4" fillId="0" borderId="14" xfId="0" applyNumberFormat="1" applyFont="1" applyBorder="1" applyAlignment="1">
      <alignment horizontal="left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176" fontId="3" fillId="0" borderId="12" xfId="0" applyNumberFormat="1" applyFont="1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8" fontId="3" fillId="0" borderId="1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3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9" fillId="0" borderId="6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80" fontId="9" fillId="0" borderId="6" xfId="0" applyNumberFormat="1" applyFont="1" applyBorder="1" applyAlignment="1">
      <alignment horizontal="center" vertical="center"/>
    </xf>
    <xf numFmtId="181" fontId="9" fillId="0" borderId="6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9" fillId="0" borderId="13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6" xfId="0" applyFont="1" applyBorder="1" applyAlignme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vertical="center" wrapText="1" shrinkToFit="1"/>
      <protection locked="0"/>
    </xf>
    <xf numFmtId="177" fontId="4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left" vertical="center"/>
      <protection locked="0"/>
    </xf>
    <xf numFmtId="182" fontId="3" fillId="0" borderId="0" xfId="0" applyNumberFormat="1" applyFont="1" applyAlignment="1" applyProtection="1">
      <alignment horizontal="left" vertical="center"/>
      <protection locked="0"/>
    </xf>
    <xf numFmtId="177" fontId="6" fillId="0" borderId="0" xfId="0" applyNumberFormat="1" applyFont="1" applyBorder="1" applyAlignment="1" applyProtection="1">
      <alignment horizontal="right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vertical="center"/>
      <protection locked="0"/>
    </xf>
    <xf numFmtId="177" fontId="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177" fontId="3" fillId="0" borderId="1" xfId="0" applyNumberFormat="1" applyFont="1" applyBorder="1" applyAlignment="1" applyProtection="1">
      <alignment horizontal="left" vertical="center" wrapText="1"/>
      <protection locked="0"/>
    </xf>
    <xf numFmtId="182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77" fontId="3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177" fontId="3" fillId="0" borderId="1" xfId="0" applyNumberFormat="1" applyFont="1" applyBorder="1" applyAlignment="1" applyProtection="1">
      <alignment horizontal="right" vertical="center" wrapText="1"/>
      <protection locked="0"/>
    </xf>
    <xf numFmtId="182" fontId="3" fillId="0" borderId="1" xfId="0" applyNumberFormat="1" applyFont="1" applyBorder="1" applyAlignment="1" applyProtection="1">
      <alignment horizontal="right" vertical="center" wrapText="1"/>
      <protection locked="0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14" fontId="3" fillId="0" borderId="1" xfId="0" applyNumberFormat="1" applyFont="1" applyBorder="1" applyAlignment="1" applyProtection="1">
      <alignment vertical="center" wrapText="1"/>
      <protection locked="0"/>
    </xf>
    <xf numFmtId="177" fontId="4" fillId="0" borderId="3" xfId="0" applyNumberFormat="1" applyFont="1" applyBorder="1" applyAlignment="1" applyProtection="1">
      <alignment horizontal="center" vertical="center" wrapText="1"/>
      <protection locked="0"/>
    </xf>
    <xf numFmtId="177" fontId="4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49" fontId="3" fillId="0" borderId="14" xfId="0" applyNumberFormat="1" applyFont="1" applyBorder="1" applyAlignment="1" applyProtection="1">
      <alignment horizontal="right" vertical="center" wrapText="1"/>
      <protection locked="0"/>
    </xf>
    <xf numFmtId="182" fontId="3" fillId="0" borderId="14" xfId="0" applyNumberFormat="1" applyFont="1" applyBorder="1" applyAlignment="1" applyProtection="1">
      <alignment horizontal="right" vertical="center" wrapText="1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182" fontId="3" fillId="0" borderId="0" xfId="0" applyNumberFormat="1" applyFont="1" applyAlignment="1" applyProtection="1">
      <alignment horizontal="right" vertical="center"/>
      <protection locked="0"/>
    </xf>
    <xf numFmtId="0" fontId="0" fillId="0" borderId="0" xfId="0" applyProtection="1">
      <alignment vertical="center"/>
      <protection locked="0"/>
    </xf>
    <xf numFmtId="178" fontId="4" fillId="0" borderId="14" xfId="0" applyNumberFormat="1" applyFont="1" applyBorder="1" applyAlignment="1">
      <alignment horizontal="center" vertical="center" shrinkToFit="1"/>
    </xf>
    <xf numFmtId="0" fontId="9" fillId="0" borderId="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177" fontId="3" fillId="0" borderId="14" xfId="0" applyNumberFormat="1" applyFont="1" applyBorder="1" applyAlignment="1" applyProtection="1">
      <alignment horizontal="right" vertical="center" wrapText="1"/>
      <protection locked="0"/>
    </xf>
    <xf numFmtId="0" fontId="3" fillId="0" borderId="14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shrinkToFit="1"/>
      <protection locked="0"/>
    </xf>
    <xf numFmtId="49" fontId="3" fillId="0" borderId="14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horizontal="center" vertical="center"/>
    </xf>
    <xf numFmtId="182" fontId="3" fillId="0" borderId="14" xfId="0" applyNumberFormat="1" applyFont="1" applyBorder="1" applyAlignment="1">
      <alignment vertical="center" shrinkToFit="1"/>
    </xf>
    <xf numFmtId="0" fontId="3" fillId="0" borderId="2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49" fontId="3" fillId="0" borderId="5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vertical="center" shrinkToFit="1"/>
    </xf>
    <xf numFmtId="0" fontId="3" fillId="0" borderId="4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183" fontId="3" fillId="0" borderId="1" xfId="0" applyNumberFormat="1" applyFont="1" applyBorder="1" applyAlignment="1">
      <alignment horizontal="left" vertical="center" shrinkToFit="1"/>
    </xf>
    <xf numFmtId="183" fontId="3" fillId="0" borderId="1" xfId="0" applyNumberFormat="1" applyFont="1" applyBorder="1" applyAlignment="1">
      <alignment horizontal="left" vertical="center" wrapText="1"/>
    </xf>
    <xf numFmtId="183" fontId="3" fillId="0" borderId="14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177" fontId="3" fillId="0" borderId="0" xfId="0" applyNumberFormat="1" applyFont="1" applyAlignment="1">
      <alignment vertical="center" wrapText="1"/>
    </xf>
    <xf numFmtId="14" fontId="3" fillId="0" borderId="14" xfId="0" applyNumberFormat="1" applyFont="1" applyBorder="1" applyAlignment="1" applyProtection="1">
      <alignment vertical="center" wrapText="1"/>
      <protection locked="0"/>
    </xf>
    <xf numFmtId="177" fontId="3" fillId="0" borderId="0" xfId="0" applyNumberFormat="1" applyFont="1">
      <alignment vertical="center"/>
    </xf>
    <xf numFmtId="177" fontId="3" fillId="0" borderId="16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NumberFormat="1" applyFont="1" applyProtection="1">
      <alignment vertical="center"/>
      <protection locked="0"/>
    </xf>
    <xf numFmtId="0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14" fontId="3" fillId="0" borderId="0" xfId="0" applyNumberFormat="1" applyFo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84" fontId="3" fillId="0" borderId="2" xfId="0" applyNumberFormat="1" applyFont="1" applyBorder="1" applyAlignment="1">
      <alignment horizontal="right" vertical="center" shrinkToFit="1"/>
    </xf>
    <xf numFmtId="184" fontId="3" fillId="0" borderId="0" xfId="0" applyNumberFormat="1" applyFont="1">
      <alignment vertical="center"/>
    </xf>
    <xf numFmtId="184" fontId="3" fillId="0" borderId="2" xfId="0" applyNumberFormat="1" applyFont="1" applyBorder="1" applyAlignment="1">
      <alignment horizontal="center" vertical="center" wrapText="1"/>
    </xf>
    <xf numFmtId="176" fontId="3" fillId="0" borderId="0" xfId="0" applyNumberFormat="1" applyFont="1">
      <alignment vertical="center"/>
    </xf>
    <xf numFmtId="0" fontId="3" fillId="0" borderId="5" xfId="0" applyNumberFormat="1" applyFont="1" applyBorder="1" applyAlignment="1">
      <alignment horizontal="center" vertical="center" wrapText="1"/>
    </xf>
    <xf numFmtId="182" fontId="3" fillId="0" borderId="1" xfId="0" applyNumberFormat="1" applyFont="1" applyBorder="1" applyAlignment="1">
      <alignment vertical="center" wrapText="1"/>
    </xf>
    <xf numFmtId="14" fontId="3" fillId="0" borderId="0" xfId="0" applyNumberFormat="1" applyFont="1" applyAlignment="1" applyProtection="1">
      <alignment horizontal="center" vertical="center" shrinkToFit="1"/>
      <protection locked="0"/>
    </xf>
    <xf numFmtId="182" fontId="3" fillId="0" borderId="14" xfId="0" applyNumberFormat="1" applyFont="1" applyBorder="1" applyAlignment="1">
      <alignment vertical="center" wrapText="1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3" fillId="0" borderId="1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183" fontId="4" fillId="0" borderId="1" xfId="0" applyNumberFormat="1" applyFont="1" applyBorder="1" applyAlignment="1">
      <alignment horizontal="left" vertical="center" wrapText="1"/>
    </xf>
    <xf numFmtId="184" fontId="4" fillId="0" borderId="2" xfId="0" applyNumberFormat="1" applyFont="1" applyBorder="1" applyAlignment="1">
      <alignment horizontal="right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5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80" fontId="9" fillId="0" borderId="0" xfId="0" applyNumberFormat="1" applyFont="1" applyBorder="1" applyAlignment="1">
      <alignment horizontal="center" vertical="center"/>
    </xf>
    <xf numFmtId="181" fontId="9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77" fontId="9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7" fontId="9" fillId="0" borderId="6" xfId="0" applyNumberFormat="1" applyFont="1" applyBorder="1" applyAlignment="1">
      <alignment horizontal="left" vertical="center"/>
    </xf>
    <xf numFmtId="182" fontId="9" fillId="0" borderId="6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85" fontId="5" fillId="0" borderId="0" xfId="0" applyNumberFormat="1" applyFont="1" applyBorder="1" applyAlignment="1">
      <alignment horizontal="left" vertical="center"/>
    </xf>
    <xf numFmtId="177" fontId="9" fillId="0" borderId="0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179" fontId="9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77">
    <dxf>
      <numFmt numFmtId="186" formatCode="\※@\ \: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82" formatCode="0_ 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82" formatCode="0_ 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77" formatCode="[$-411]ge\.m\.d;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19" formatCode="yyyy/m/d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8" formatCode="0;\-0;;@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6" formatCode="0_);[Red]\(0\)"/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6" formatCode="0_);[Red]\(0\)"/>
      <alignment horizontal="righ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6" formatCode="0_);[Red]\(0\)"/>
      <alignment horizontal="righ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6" formatCode="0_);[Red]\(0\)"/>
      <alignment horizontal="righ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84" formatCode="yy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明朝"/>
        <family val="1"/>
        <charset val="128"/>
        <scheme val="none"/>
      </font>
      <numFmt numFmtId="177" formatCode="[$-411]ge\.m\.d;@"/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83" formatCode="#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明朝"/>
        <family val="1"/>
        <charset val="128"/>
        <scheme val="none"/>
      </font>
      <numFmt numFmtId="0" formatCode="General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明朝"/>
        <family val="1"/>
        <charset val="128"/>
        <scheme val="none"/>
      </font>
      <numFmt numFmtId="177" formatCode="[$-411]ge\.m\.d;@"/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ＭＳ Ｐ明朝"/>
        <family val="1"/>
        <charset val="128"/>
        <scheme val="none"/>
      </font>
      <numFmt numFmtId="177" formatCode="[$-411]ge\.m\.d;@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numFmt numFmtId="0" formatCode="General"/>
      <alignment horizontal="general" vertical="center" textRotation="0" wrapText="0" indent="0" justifyLastLine="0" shrinkToFit="1" readingOrder="0"/>
      <protection locked="0" hidden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明朝"/>
        <family val="1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ECFF"/>
      <color rgb="FFFFFFCC"/>
      <color rgb="FF99CCFF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68582</xdr:colOff>
      <xdr:row>23</xdr:row>
      <xdr:rowOff>60960</xdr:rowOff>
    </xdr:from>
    <xdr:to>
      <xdr:col>9</xdr:col>
      <xdr:colOff>158934</xdr:colOff>
      <xdr:row>26</xdr:row>
      <xdr:rowOff>175260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FA2D63A-0D99-495A-9B59-3CE6F0644240}"/>
            </a:ext>
          </a:extLst>
        </xdr:cNvPr>
        <xdr:cNvSpPr/>
      </xdr:nvSpPr>
      <xdr:spPr>
        <a:xfrm>
          <a:off x="2263142" y="5775960"/>
          <a:ext cx="90352" cy="800100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228602</xdr:colOff>
      <xdr:row>23</xdr:row>
      <xdr:rowOff>60960</xdr:rowOff>
    </xdr:from>
    <xdr:to>
      <xdr:col>29</xdr:col>
      <xdr:colOff>75114</xdr:colOff>
      <xdr:row>26</xdr:row>
      <xdr:rowOff>175260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8289A4F3-D6F2-4071-96EF-91F4D7C6F74C}"/>
            </a:ext>
          </a:extLst>
        </xdr:cNvPr>
        <xdr:cNvSpPr/>
      </xdr:nvSpPr>
      <xdr:spPr>
        <a:xfrm flipH="1">
          <a:off x="7056122" y="5775960"/>
          <a:ext cx="90352" cy="800100"/>
        </a:xfrm>
        <a:prstGeom prst="leftBracket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ECB8D8-7153-40DA-903B-2F1ABEAE5867}" name="交付簿" displayName="交付簿" ref="A4:BH25" totalsRowShown="0" headerRowDxfId="63" dataDxfId="62" tableBorderDxfId="61">
  <autoFilter ref="A4:BH25" xr:uid="{3E39D0A9-FD7E-4C11-9B32-FDACDFF6BFCF}"/>
  <tableColumns count="60">
    <tableColumn id="1" xr3:uid="{2C66DC54-DDAE-4318-83BC-8DAE655076BD}" name="列1" dataDxfId="60">
      <calculatedColumnFormula>ROW()-4</calculatedColumnFormula>
    </tableColumn>
    <tableColumn id="6" xr3:uid="{0E49AF2E-967A-4F29-86C0-F7E346E031A4}" name="列102" dataDxfId="59"/>
    <tableColumn id="2" xr3:uid="{92796745-E7B4-4170-9566-2A75527A2B83}" name="受理年月日" dataDxfId="58"/>
    <tableColumn id="3" xr3:uid="{7334D0C7-A780-495C-9BCE-0644A1E282D1}" name="番号標に表示されている番号" dataDxfId="57">
      <calculatedColumnFormula>交付簿[[#This Row],[自動反映
登録番号]]</calculatedColumnFormula>
    </tableColumn>
    <tableColumn id="7" xr3:uid="{3B8B48FB-50A2-4C76-8ABE-678352AE9AA5}" name="車両の使用者氏名又は名称" dataDxfId="56">
      <calculatedColumnFormula>交付簿[[#This Row],[車両使用者
氏名]]</calculatedColumnFormula>
    </tableColumn>
    <tableColumn id="8" xr3:uid="{C9D23ACC-9660-4F19-9CD1-095D77E7C9F3}" name="交付年月日" dataDxfId="55"/>
    <tableColumn id="9" xr3:uid="{881C051E-48A9-485F-A4D7-98B5B486E38E}" name=" 交付番号" dataDxfId="54">
      <calculatedColumnFormula>RIGHT(TEXT($P$1,"y"),2)</calculatedColumnFormula>
    </tableColumn>
    <tableColumn id="10" xr3:uid="{6E2FD65E-2A84-4489-A1CF-BB0CFD3D3CCA}" name="列5" dataDxfId="53">
      <calculatedColumnFormula>交付簿[[#This Row],[コード]]</calculatedColumnFormula>
    </tableColumn>
    <tableColumn id="11" xr3:uid="{2AE7AAF4-D6F9-4A69-ADE9-A66B28D4FDC9}" name="列6" dataDxfId="52">
      <calculatedColumnFormula>_xlfn.IFS(交付簿[[#This Row],[列27]]=1,"00",交付簿[[#This Row],[列27]]=2,"01")</calculatedColumnFormula>
    </tableColumn>
    <tableColumn id="12" xr3:uid="{E45E383D-1217-48B1-9B36-613B9CA377A6}" name="列7" dataDxfId="51">
      <calculatedColumnFormula>IF(交付簿[[#This Row],[列24]]=1,"1","4")</calculatedColumnFormula>
    </tableColumn>
    <tableColumn id="13" xr3:uid="{26297249-FA08-46C6-8CA7-CED0B73AA854}" name="列8" dataDxfId="50"/>
    <tableColumn id="14" xr3:uid="{E0F78B91-7B68-4EE3-81E3-F5338D7050BF}" name="備考" dataDxfId="49">
      <calculatedColumnFormula>U5</calculatedColumnFormula>
    </tableColumn>
    <tableColumn id="15" xr3:uid="{3C925BC6-9F4F-4325-8E84-B9156590B63F}" name="列9" dataDxfId="48">
      <calculatedColumnFormula>AD5</calculatedColumnFormula>
    </tableColumn>
    <tableColumn id="16" xr3:uid="{E8C34880-6DD7-4E3F-A61A-9E1F0AB6B7BB}" name="列10" dataDxfId="47">
      <calculatedColumnFormula>AH5</calculatedColumnFormula>
    </tableColumn>
    <tableColumn id="17" xr3:uid="{5F8994B6-81C5-4C49-8896-CDC46EA6BB91}" name="申請者（住所）" dataDxfId="46"/>
    <tableColumn id="18" xr3:uid="{0EF5B4A2-ED3F-4F7D-B8F5-41F3C01F206E}" name="申請者（氏名）" dataDxfId="45"/>
    <tableColumn id="37" xr3:uid="{D32411A7-8E7C-46A7-A77E-5749A5679F81}" name="番号標に表示されている番号2" dataDxfId="44"/>
    <tableColumn id="38" xr3:uid="{FA735ED5-F6E3-4C54-B823-6B4B1F6D5DEA}" name="列2" dataDxfId="43"/>
    <tableColumn id="36" xr3:uid="{55EA56A0-4006-4E7C-8115-B02658320E52}" name="列3" dataDxfId="42"/>
    <tableColumn id="35" xr3:uid="{1851EC73-695E-4BEF-96CD-7927FAA88B35}" name="列4" dataDxfId="41"/>
    <tableColumn id="63" xr3:uid="{B6977465-D7BE-4AB8-85FD-3B538AAA4AED}" name="列42" dataDxfId="40"/>
    <tableColumn id="19" xr3:uid="{95B29C65-2769-4EBB-8705-CB5E4284B92A}" name="用途コード" dataDxfId="39"/>
    <tableColumn id="58" xr3:uid="{0C45BAE5-6953-4BCF-B1D4-F3038C023683}" name="列18" dataDxfId="38"/>
    <tableColumn id="59" xr3:uid="{5B85377F-F8AE-48C1-AEA1-A7087680DBF7}" name="列19" dataDxfId="37"/>
    <tableColumn id="56" xr3:uid="{F91523DF-158B-4332-8D6D-7A9198E4BCFB}" name="列16" dataDxfId="36"/>
    <tableColumn id="57" xr3:uid="{D7139C7C-6DAF-4AA7-8E9A-E75E6273C849}" name="列17" dataDxfId="35"/>
    <tableColumn id="55" xr3:uid="{BB7D30D4-5841-4DCA-A553-9056A4BCA4D5}" name="列15" dataDxfId="34"/>
    <tableColumn id="60" xr3:uid="{801B494C-603F-47B4-9F41-BF21049DB28B}" name="列152" dataDxfId="33"/>
    <tableColumn id="54" xr3:uid="{84D97447-5631-4E91-806E-5A32300F9957}" name="列14" dataDxfId="32"/>
    <tableColumn id="20" xr3:uid="{3B71549D-CDC4-474D-AC8D-E271B1312CA6}" name="用途(_x000a_（人数・品名等）" dataDxfId="31"/>
    <tableColumn id="32" xr3:uid="{7D9E50C0-C530-4D6F-8219-78811E53BF87}" name="人数" dataDxfId="30"/>
    <tableColumn id="62" xr3:uid="{7278EC80-079D-4A09-B822-E157A9086A10}" name="列21" dataDxfId="29"/>
    <tableColumn id="61" xr3:uid="{ED1B7F7D-028B-4838-A3C9-4231D02F6313}" name="列20" dataDxfId="28"/>
    <tableColumn id="21" xr3:uid="{039716CB-D245-4BB7-8FA3-B7053B0FA4CA}" name="用途（その他・備考）" dataDxfId="27"/>
    <tableColumn id="22" xr3:uid="{7CF0B833-18BD-48AF-A655-983F4671D91E}" name="活動地域" dataDxfId="26"/>
    <tableColumn id="39" xr3:uid="{F306F6E3-9057-4100-9D05-888FEE0C9144}" name="車両使用者_x000a_氏名" dataDxfId="25"/>
    <tableColumn id="23" xr3:uid="{2AFAA8C5-9A11-47FD-905C-B26705365049}" name="車両使用者_x000a_住所2" dataDxfId="24"/>
    <tableColumn id="24" xr3:uid="{31E9FF27-E79D-49F0-951D-B36C483CF9E3}" name="車両使用者_x000a_電話番号" dataDxfId="23"/>
    <tableColumn id="42" xr3:uid="{6447F870-6698-4444-B72C-0A108D9D3EB4}" name="列13" dataDxfId="22"/>
    <tableColumn id="41" xr3:uid="{92DE03F6-00E1-4583-8C8A-514FCE82EDA5}" name="列12" dataDxfId="21"/>
    <tableColumn id="40" xr3:uid="{8517A5BB-888C-4C4B-98B8-139A0255D991}" name="列11" dataDxfId="20"/>
    <tableColumn id="25" xr3:uid="{F9373798-128F-425A-957E-0391BBA830A7}" name="有効期限" dataDxfId="19">
      <calculatedColumnFormula>交付簿[[#This Row],[列23]]</calculatedColumnFormula>
    </tableColumn>
    <tableColumn id="46" xr3:uid="{5DB0F878-FDA1-49DC-965E-49C699C95BB0}" name="列24" dataDxfId="18"/>
    <tableColumn id="26" xr3:uid="{1FB44541-67CF-4965-A456-E046E6090C20}" name="指定機関_x000a_コード" dataDxfId="17"/>
    <tableColumn id="27" xr3:uid="{4D7D14D3-C7A6-4746-A8C9-B9FC1A997FE1}" name="指定機関名" dataDxfId="16"/>
    <tableColumn id="28" xr3:uid="{3F71248D-F36C-4B81-B7A0-53C2064E1050}" name="委託_x000a_（委託：１）" dataDxfId="15"/>
    <tableColumn id="43" xr3:uid="{F3A32D26-7638-40CD-91ED-DD4144407479}" name="委託_x000a_（委託：２）" dataDxfId="14"/>
    <tableColumn id="29" xr3:uid="{6EABD1F3-6F80-49EC-9BE8-3C992317540E}" name="廃止_x000a_（廃止：１）" dataDxfId="13"/>
    <tableColumn id="5" xr3:uid="{F3674D03-3BA8-4D50-A39A-111E4A0144CB}" name="列26" dataDxfId="12"/>
    <tableColumn id="33" xr3:uid="{075AF925-7D38-4B4B-9894-445306C8B536}" name="列25" dataDxfId="11"/>
    <tableColumn id="34" xr3:uid="{C02224EE-14C4-4D79-9C0C-B9EED0540775}" name="列27" dataDxfId="10"/>
    <tableColumn id="30" xr3:uid="{E3790E33-1101-448A-8B2D-EC65DE8EECA6}" name="自動反映_x000a_交付番号" dataDxfId="9">
      <calculatedColumnFormula>G5&amp;" "&amp;H5&amp;" "&amp;I5&amp;" "&amp;J5&amp;" "&amp;K5</calculatedColumnFormula>
    </tableColumn>
    <tableColumn id="31" xr3:uid="{4A9570B9-146A-4190-AF22-EB0AF95D9D6D}" name="自動反映_x000a_登録番号" dataDxfId="8">
      <calculatedColumnFormula>Q5&amp;" "&amp;R5&amp;" "&amp;S5&amp;" "&amp;T5</calculatedColumnFormula>
    </tableColumn>
    <tableColumn id="4" xr3:uid="{5CF8C1B3-D27F-4FAD-85C2-1C319733B2FC}" name="元号" dataDxfId="7">
      <calculatedColumnFormula>$L$1</calculatedColumnFormula>
    </tableColumn>
    <tableColumn id="44" xr3:uid="{D185C730-3AC8-4346-AAD1-373E06D580E7}" name="列22" dataDxfId="6">
      <calculatedColumnFormula>DATE(YEAR(交付簿[[#This Row],[交付年月日]])+5,MONTH(交付簿[[#This Row],[交付年月日]]),DAY(交付簿[[#This Row],[交付年月日]]))</calculatedColumnFormula>
    </tableColumn>
    <tableColumn id="45" xr3:uid="{C62E8854-3D63-44AD-935D-9D59B211F7A9}" name="列23" dataDxfId="5">
      <calculatedColumnFormula>MIN(交付簿[[#This Row],[列22]],交付簿[[#This Row],[委託
（委託：２）]])</calculatedColumnFormula>
    </tableColumn>
    <tableColumn id="47" xr3:uid="{10A6F31D-1FA5-4673-8B26-8D5E0657208D}" name="警察署名" dataDxfId="4">
      <calculatedColumnFormula>$L$2</calculatedColumnFormula>
    </tableColumn>
    <tableColumn id="48" xr3:uid="{B946CC58-0575-4F13-9103-EB01623156C1}" name="コード" dataDxfId="3">
      <calculatedColumnFormula>VLOOKUP(交付簿[[#This Row],[警察署名]],署コード,2,FALSE)</calculatedColumnFormula>
    </tableColumn>
    <tableColumn id="49" xr3:uid="{F4897688-358E-40B8-9DDA-82D2040E6617}" name="列28" dataDxfId="2"/>
    <tableColumn id="50" xr3:uid="{4E4AE433-D8C0-4F31-A636-8F6C62E9096F}" name="列29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F585-C3AD-41B6-B343-0CA875DEA3AD}">
  <sheetPr>
    <tabColor rgb="FFFFFF00"/>
    <pageSetUpPr fitToPage="1"/>
  </sheetPr>
  <dimension ref="A1:BH25"/>
  <sheetViews>
    <sheetView tabSelected="1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6" sqref="B6"/>
    </sheetView>
  </sheetViews>
  <sheetFormatPr defaultColWidth="8.69921875" defaultRowHeight="36" customHeight="1" outlineLevelCol="1" x14ac:dyDescent="0.45"/>
  <cols>
    <col min="1" max="1" width="5.19921875" style="88" customWidth="1"/>
    <col min="2" max="2" width="6.19921875" style="126" customWidth="1"/>
    <col min="3" max="3" width="11.69921875" style="6" hidden="1" customWidth="1" outlineLevel="1"/>
    <col min="4" max="4" width="16" style="1" hidden="1" customWidth="1" outlineLevel="1"/>
    <col min="5" max="5" width="23" style="1" hidden="1" customWidth="1" outlineLevel="1"/>
    <col min="6" max="6" width="11.69921875" style="6" hidden="1" customWidth="1" outlineLevel="1"/>
    <col min="7" max="7" width="5.69921875" style="181" hidden="1" customWidth="1" outlineLevel="1"/>
    <col min="8" max="8" width="7.3984375" style="183" hidden="1" customWidth="1" outlineLevel="1"/>
    <col min="9" max="10" width="5.19921875" style="183" hidden="1" customWidth="1" outlineLevel="1"/>
    <col min="11" max="11" width="7.296875" style="1" hidden="1" customWidth="1" outlineLevel="1"/>
    <col min="12" max="12" width="6.09765625" style="15" hidden="1" customWidth="1" outlineLevel="1"/>
    <col min="13" max="13" width="5.19921875" style="15" hidden="1" customWidth="1" outlineLevel="1"/>
    <col min="14" max="14" width="6.19921875" style="16" hidden="1" customWidth="1" outlineLevel="1"/>
    <col min="15" max="15" width="13.8984375" style="92" customWidth="1" collapsed="1"/>
    <col min="16" max="16" width="13.8984375" style="92" customWidth="1"/>
    <col min="17" max="17" width="7" style="98" customWidth="1"/>
    <col min="18" max="19" width="5" style="98" customWidth="1"/>
    <col min="20" max="20" width="5.09765625" style="98" bestFit="1" customWidth="1"/>
    <col min="21" max="21" width="11.59765625" style="98" customWidth="1"/>
    <col min="22" max="33" width="12.09765625" style="92" customWidth="1"/>
    <col min="34" max="34" width="18.5" style="92" customWidth="1"/>
    <col min="35" max="36" width="12.09765625" style="92" customWidth="1"/>
    <col min="37" max="37" width="19.19921875" style="92" customWidth="1"/>
    <col min="38" max="41" width="12.09765625" style="92" customWidth="1"/>
    <col min="42" max="42" width="12.09765625" style="92" hidden="1" customWidth="1" outlineLevel="1"/>
    <col min="43" max="43" width="12.09765625" style="171" customWidth="1" collapsed="1"/>
    <col min="44" max="45" width="12.09765625" style="92" customWidth="1"/>
    <col min="46" max="46" width="11.19921875" style="127" customWidth="1"/>
    <col min="47" max="47" width="11.19921875" style="128" customWidth="1"/>
    <col min="48" max="48" width="8.69921875" style="127" customWidth="1"/>
    <col min="49" max="49" width="8.69921875" style="128" customWidth="1"/>
    <col min="50" max="50" width="8.69921875" style="129" customWidth="1"/>
    <col min="51" max="51" width="8.69921875" style="92"/>
    <col min="52" max="52" width="18.19921875" style="1" hidden="1" customWidth="1" outlineLevel="1"/>
    <col min="53" max="53" width="16.3984375" style="1" hidden="1" customWidth="1" outlineLevel="1"/>
    <col min="54" max="54" width="7.5" style="1" hidden="1" customWidth="1" outlineLevel="1"/>
    <col min="55" max="55" width="23.59765625" style="1" hidden="1" customWidth="1" outlineLevel="1"/>
    <col min="56" max="56" width="23.59765625" style="167" hidden="1" customWidth="1" outlineLevel="1"/>
    <col min="57" max="57" width="23.59765625" style="1" hidden="1" customWidth="1" outlineLevel="1"/>
    <col min="58" max="58" width="8.69921875" style="1" hidden="1" customWidth="1" outlineLevel="1"/>
    <col min="59" max="59" width="8.69921875" style="1" collapsed="1"/>
    <col min="60" max="60" width="8.796875" style="1" customWidth="1"/>
    <col min="61" max="16384" width="8.69921875" style="1"/>
  </cols>
  <sheetData>
    <row r="1" spans="1:60" ht="36" hidden="1" customHeight="1" x14ac:dyDescent="0.2">
      <c r="B1" s="91"/>
      <c r="C1" s="7" t="s">
        <v>6</v>
      </c>
      <c r="E1" s="8"/>
      <c r="F1" s="13"/>
      <c r="K1" s="8"/>
      <c r="L1" s="188" t="s">
        <v>180</v>
      </c>
      <c r="M1" s="194">
        <f>P1</f>
        <v>45658</v>
      </c>
      <c r="N1" s="189" t="s">
        <v>24</v>
      </c>
      <c r="O1" s="92" t="s">
        <v>181</v>
      </c>
      <c r="P1" s="177">
        <v>45658</v>
      </c>
      <c r="Q1" s="186"/>
      <c r="R1" s="93"/>
      <c r="S1" s="93"/>
      <c r="T1" s="93"/>
      <c r="U1" s="93"/>
      <c r="AT1" s="94"/>
      <c r="AU1" s="95"/>
      <c r="AV1" s="94"/>
      <c r="AW1" s="95"/>
      <c r="AX1" s="96"/>
    </row>
    <row r="2" spans="1:60" ht="36" customHeight="1" x14ac:dyDescent="0.2">
      <c r="A2" s="89" t="s">
        <v>123</v>
      </c>
      <c r="B2" s="97"/>
      <c r="D2" s="223" t="s">
        <v>79</v>
      </c>
      <c r="E2" s="223"/>
      <c r="F2" s="223"/>
      <c r="G2" s="223"/>
      <c r="H2" s="223"/>
      <c r="I2" s="223"/>
      <c r="J2" s="223"/>
      <c r="K2" s="223"/>
      <c r="L2" s="224" t="s">
        <v>185</v>
      </c>
      <c r="M2" s="224"/>
      <c r="N2" s="22" t="s">
        <v>182</v>
      </c>
      <c r="O2" s="92" t="s">
        <v>96</v>
      </c>
      <c r="R2" s="99"/>
      <c r="S2" s="99"/>
      <c r="T2" s="99"/>
      <c r="U2" s="99"/>
      <c r="V2" s="150" t="s">
        <v>153</v>
      </c>
      <c r="W2" s="151"/>
      <c r="X2" s="151"/>
      <c r="Y2" s="151"/>
      <c r="Z2" s="151"/>
      <c r="AA2" s="151"/>
      <c r="AB2" s="151"/>
      <c r="AC2" s="151"/>
      <c r="AD2" s="151"/>
      <c r="AE2" s="152"/>
      <c r="AF2" s="153"/>
      <c r="AG2" s="153"/>
      <c r="AT2" s="94"/>
      <c r="AU2" s="95"/>
      <c r="AV2" s="94"/>
      <c r="AW2" s="95"/>
      <c r="AX2" s="96"/>
    </row>
    <row r="3" spans="1:60" s="2" customFormat="1" ht="36" customHeight="1" x14ac:dyDescent="0.45">
      <c r="A3" s="90" t="s">
        <v>122</v>
      </c>
      <c r="B3" s="100" t="s">
        <v>95</v>
      </c>
      <c r="C3" s="9" t="s">
        <v>0</v>
      </c>
      <c r="D3" s="3" t="s">
        <v>85</v>
      </c>
      <c r="E3" s="10" t="s">
        <v>2</v>
      </c>
      <c r="F3" s="14" t="s">
        <v>3</v>
      </c>
      <c r="G3" s="220" t="s">
        <v>5</v>
      </c>
      <c r="H3" s="221"/>
      <c r="I3" s="221"/>
      <c r="J3" s="221"/>
      <c r="K3" s="222"/>
      <c r="L3" s="214" t="s">
        <v>78</v>
      </c>
      <c r="M3" s="215"/>
      <c r="N3" s="216"/>
      <c r="O3" s="101" t="s">
        <v>80</v>
      </c>
      <c r="P3" s="101" t="s">
        <v>81</v>
      </c>
      <c r="Q3" s="217" t="s">
        <v>1</v>
      </c>
      <c r="R3" s="218"/>
      <c r="S3" s="218"/>
      <c r="T3" s="219"/>
      <c r="U3" s="134" t="s">
        <v>155</v>
      </c>
      <c r="V3" s="146" t="s">
        <v>141</v>
      </c>
      <c r="W3" s="146" t="s">
        <v>140</v>
      </c>
      <c r="X3" s="146" t="s">
        <v>142</v>
      </c>
      <c r="Y3" s="146" t="s">
        <v>143</v>
      </c>
      <c r="Z3" s="146" t="s">
        <v>144</v>
      </c>
      <c r="AA3" s="146" t="s">
        <v>145</v>
      </c>
      <c r="AB3" s="146" t="s">
        <v>147</v>
      </c>
      <c r="AC3" s="146" t="s">
        <v>148</v>
      </c>
      <c r="AD3" s="101" t="s">
        <v>114</v>
      </c>
      <c r="AE3" s="101" t="s">
        <v>121</v>
      </c>
      <c r="AF3" s="101" t="s">
        <v>152</v>
      </c>
      <c r="AG3" s="101" t="s">
        <v>149</v>
      </c>
      <c r="AH3" s="101" t="s">
        <v>115</v>
      </c>
      <c r="AI3" s="101" t="s">
        <v>13</v>
      </c>
      <c r="AJ3" s="101" t="s">
        <v>88</v>
      </c>
      <c r="AK3" s="101" t="s">
        <v>12</v>
      </c>
      <c r="AL3" s="101" t="s">
        <v>89</v>
      </c>
      <c r="AM3" s="101" t="s">
        <v>91</v>
      </c>
      <c r="AN3" s="101" t="s">
        <v>92</v>
      </c>
      <c r="AO3" s="101" t="s">
        <v>93</v>
      </c>
      <c r="AP3" s="101" t="s">
        <v>10</v>
      </c>
      <c r="AQ3" s="172" t="s">
        <v>178</v>
      </c>
      <c r="AR3" s="101" t="s">
        <v>14</v>
      </c>
      <c r="AS3" s="101" t="s">
        <v>62</v>
      </c>
      <c r="AT3" s="102" t="s">
        <v>15</v>
      </c>
      <c r="AU3" s="103" t="s">
        <v>132</v>
      </c>
      <c r="AV3" s="102" t="s">
        <v>16</v>
      </c>
      <c r="AW3" s="103" t="s">
        <v>130</v>
      </c>
      <c r="AX3" s="104" t="s">
        <v>77</v>
      </c>
      <c r="AY3" s="105" t="s">
        <v>116</v>
      </c>
      <c r="AZ3" s="3" t="s">
        <v>17</v>
      </c>
      <c r="BA3" s="19" t="s">
        <v>97</v>
      </c>
      <c r="BB3" s="3" t="s">
        <v>119</v>
      </c>
      <c r="BC3" s="2" t="s">
        <v>167</v>
      </c>
      <c r="BD3" s="165" t="s">
        <v>169</v>
      </c>
      <c r="BE3" s="2" t="s">
        <v>183</v>
      </c>
      <c r="BF3" s="2" t="s">
        <v>230</v>
      </c>
      <c r="BG3" s="3" t="s">
        <v>236</v>
      </c>
      <c r="BH3" s="197" t="s">
        <v>237</v>
      </c>
    </row>
    <row r="4" spans="1:60" s="2" customFormat="1" ht="36" hidden="1" customHeight="1" x14ac:dyDescent="0.45">
      <c r="A4" s="88" t="s">
        <v>64</v>
      </c>
      <c r="B4" s="106" t="s">
        <v>94</v>
      </c>
      <c r="C4" s="9" t="s">
        <v>0</v>
      </c>
      <c r="D4" s="3" t="s">
        <v>85</v>
      </c>
      <c r="E4" s="10" t="s">
        <v>2</v>
      </c>
      <c r="F4" s="14" t="s">
        <v>3</v>
      </c>
      <c r="G4" s="182" t="s">
        <v>5</v>
      </c>
      <c r="H4" s="44" t="s">
        <v>68</v>
      </c>
      <c r="I4" s="44" t="s">
        <v>69</v>
      </c>
      <c r="J4" s="44" t="s">
        <v>70</v>
      </c>
      <c r="K4" s="50" t="s">
        <v>71</v>
      </c>
      <c r="L4" s="48" t="s">
        <v>4</v>
      </c>
      <c r="M4" s="49" t="s">
        <v>72</v>
      </c>
      <c r="N4" s="50" t="s">
        <v>73</v>
      </c>
      <c r="O4" s="101" t="s">
        <v>7</v>
      </c>
      <c r="P4" s="101" t="s">
        <v>8</v>
      </c>
      <c r="Q4" s="107" t="s">
        <v>86</v>
      </c>
      <c r="R4" s="108" t="s">
        <v>65</v>
      </c>
      <c r="S4" s="108" t="s">
        <v>66</v>
      </c>
      <c r="T4" s="109" t="s">
        <v>67</v>
      </c>
      <c r="U4" s="134" t="s">
        <v>154</v>
      </c>
      <c r="V4" s="101" t="s">
        <v>11</v>
      </c>
      <c r="W4" s="101" t="s">
        <v>137</v>
      </c>
      <c r="X4" s="101" t="s">
        <v>138</v>
      </c>
      <c r="Y4" s="101" t="s">
        <v>135</v>
      </c>
      <c r="Z4" s="101" t="s">
        <v>136</v>
      </c>
      <c r="AA4" s="101" t="s">
        <v>134</v>
      </c>
      <c r="AB4" s="101" t="s">
        <v>146</v>
      </c>
      <c r="AC4" s="101" t="s">
        <v>133</v>
      </c>
      <c r="AD4" s="101" t="s">
        <v>76</v>
      </c>
      <c r="AE4" s="101" t="s">
        <v>74</v>
      </c>
      <c r="AF4" s="101" t="s">
        <v>151</v>
      </c>
      <c r="AG4" s="101" t="s">
        <v>139</v>
      </c>
      <c r="AH4" s="101" t="s">
        <v>9</v>
      </c>
      <c r="AI4" s="101" t="s">
        <v>13</v>
      </c>
      <c r="AJ4" s="101" t="s">
        <v>88</v>
      </c>
      <c r="AK4" s="101" t="s">
        <v>87</v>
      </c>
      <c r="AL4" s="101" t="s">
        <v>90</v>
      </c>
      <c r="AM4" s="101" t="s">
        <v>84</v>
      </c>
      <c r="AN4" s="101" t="s">
        <v>83</v>
      </c>
      <c r="AO4" s="101" t="s">
        <v>82</v>
      </c>
      <c r="AP4" s="101" t="s">
        <v>10</v>
      </c>
      <c r="AQ4" s="172" t="s">
        <v>177</v>
      </c>
      <c r="AR4" s="101" t="s">
        <v>14</v>
      </c>
      <c r="AS4" s="101" t="s">
        <v>62</v>
      </c>
      <c r="AT4" s="110" t="s">
        <v>15</v>
      </c>
      <c r="AU4" s="111" t="s">
        <v>131</v>
      </c>
      <c r="AV4" s="110" t="s">
        <v>16</v>
      </c>
      <c r="AW4" s="111" t="s">
        <v>232</v>
      </c>
      <c r="AX4" s="112" t="s">
        <v>231</v>
      </c>
      <c r="AY4" s="101" t="s">
        <v>233</v>
      </c>
      <c r="AZ4" s="3" t="s">
        <v>17</v>
      </c>
      <c r="BA4" s="19" t="s">
        <v>18</v>
      </c>
      <c r="BB4" s="3" t="s">
        <v>119</v>
      </c>
      <c r="BC4" s="164" t="s">
        <v>166</v>
      </c>
      <c r="BD4" s="168" t="s">
        <v>168</v>
      </c>
      <c r="BE4" s="164" t="s">
        <v>229</v>
      </c>
      <c r="BF4" s="164" t="s">
        <v>184</v>
      </c>
      <c r="BG4" s="196" t="s">
        <v>238</v>
      </c>
      <c r="BH4" s="195" t="s">
        <v>239</v>
      </c>
    </row>
    <row r="5" spans="1:60" s="2" customFormat="1" ht="36" customHeight="1" collapsed="1" x14ac:dyDescent="0.45">
      <c r="A5" s="88" t="s">
        <v>240</v>
      </c>
      <c r="B5" s="113">
        <v>45672</v>
      </c>
      <c r="C5" s="17">
        <v>45672</v>
      </c>
      <c r="D5" s="12" t="str">
        <f>交付簿[[#This Row],[自動反映
登録番号]]</f>
        <v>千葉 ５００ あ １２４３</v>
      </c>
      <c r="E5" s="161" t="str">
        <f>交付簿[[#This Row],[車両使用者
氏名]]</f>
        <v>千葉県●●課</v>
      </c>
      <c r="F5" s="17">
        <v>45689</v>
      </c>
      <c r="G5" s="180" t="str">
        <f>RIGHT(TEXT($P$1,"y"),2)</f>
        <v>25</v>
      </c>
      <c r="H5" s="40">
        <f>交付簿[[#This Row],[コード]]</f>
        <v>441015</v>
      </c>
      <c r="I5" s="40" t="str">
        <f>_xlfn.IFS(交付簿[[#This Row],[列27]]=1,"00",交付簿[[#This Row],[列27]]=2,"01")</f>
        <v>00</v>
      </c>
      <c r="J5" s="40" t="str">
        <f>IF(交付簿[[#This Row],[列24]]=1,"1","4")</f>
        <v>1</v>
      </c>
      <c r="K5" s="24" t="s">
        <v>58</v>
      </c>
      <c r="L5" s="154" t="str">
        <f t="shared" ref="L5" si="0">U5</f>
        <v>オ</v>
      </c>
      <c r="M5" s="18"/>
      <c r="N5" s="25"/>
      <c r="O5" s="101" t="s">
        <v>59</v>
      </c>
      <c r="P5" s="101" t="s">
        <v>57</v>
      </c>
      <c r="Q5" s="114" t="s">
        <v>53</v>
      </c>
      <c r="R5" s="115" t="s">
        <v>54</v>
      </c>
      <c r="S5" s="115" t="s">
        <v>55</v>
      </c>
      <c r="T5" s="116" t="s">
        <v>56</v>
      </c>
      <c r="U5" s="116" t="s">
        <v>49</v>
      </c>
      <c r="V5" s="101"/>
      <c r="W5" s="101"/>
      <c r="X5" s="101"/>
      <c r="Y5" s="101"/>
      <c r="Z5" s="101" t="s">
        <v>150</v>
      </c>
      <c r="AA5" s="101"/>
      <c r="AB5" s="101"/>
      <c r="AC5" s="101"/>
      <c r="AD5" s="101"/>
      <c r="AE5" s="101"/>
      <c r="AF5" s="101"/>
      <c r="AG5" s="101"/>
      <c r="AH5" s="101"/>
      <c r="AI5" s="101" t="s">
        <v>241</v>
      </c>
      <c r="AJ5" s="101" t="s">
        <v>242</v>
      </c>
      <c r="AK5" s="101" t="s">
        <v>243</v>
      </c>
      <c r="AL5" s="101" t="s">
        <v>60</v>
      </c>
      <c r="AM5" s="101" t="s">
        <v>242</v>
      </c>
      <c r="AN5" s="101" t="s">
        <v>244</v>
      </c>
      <c r="AO5" s="101" t="s">
        <v>120</v>
      </c>
      <c r="AP5" s="117">
        <f>交付簿[[#This Row],[列23]]</f>
        <v>47515</v>
      </c>
      <c r="AQ5" s="172">
        <v>1</v>
      </c>
      <c r="AR5" s="101">
        <v>5</v>
      </c>
      <c r="AS5" s="101" t="s">
        <v>63</v>
      </c>
      <c r="AT5" s="110" t="s">
        <v>246</v>
      </c>
      <c r="AU5" s="111"/>
      <c r="AV5" s="110"/>
      <c r="AW5" s="111"/>
      <c r="AX5" s="112"/>
      <c r="AY5" s="101">
        <v>1</v>
      </c>
      <c r="AZ5" s="185" t="str">
        <f t="shared" ref="AZ5:AZ25" si="1">G5&amp;" "&amp;H5&amp;" "&amp;I5&amp;" "&amp;J5&amp;" "&amp;K5</f>
        <v>25 441015 00 1 00001</v>
      </c>
      <c r="BA5" s="19" t="str">
        <f>Q5&amp;" "&amp;R5&amp;" "&amp;S5&amp;" "&amp;T5</f>
        <v>千葉 ５００ あ １２４３</v>
      </c>
      <c r="BB5" s="3" t="str">
        <f t="shared" ref="BB5:BB25" si="2">$L$1</f>
        <v>令和</v>
      </c>
      <c r="BC5" s="165">
        <f>DATE(YEAR(交付簿[[#This Row],[交付年月日]])+5,MONTH(交付簿[[#This Row],[交付年月日]]),DAY(交付簿[[#This Row],[交付年月日]]))</f>
        <v>47515</v>
      </c>
      <c r="BD5" s="165">
        <f>MIN(交付簿[[#This Row],[列22]],交付簿[[#This Row],[委託
（委託：２）]])</f>
        <v>47515</v>
      </c>
      <c r="BE5" s="2" t="str">
        <f t="shared" ref="BE5:BE25" si="3">$L$2</f>
        <v>千葉中央</v>
      </c>
      <c r="BF5" s="2">
        <f>VLOOKUP(交付簿[[#This Row],[警察署名]],署コード,2,FALSE)</f>
        <v>441015</v>
      </c>
      <c r="BG5" s="101">
        <v>1</v>
      </c>
      <c r="BH5" s="101">
        <v>1</v>
      </c>
    </row>
    <row r="6" spans="1:60" s="2" customFormat="1" ht="36" customHeight="1" x14ac:dyDescent="0.45">
      <c r="A6" s="88">
        <f>ROW()-5</f>
        <v>1</v>
      </c>
      <c r="B6" s="118"/>
      <c r="C6" s="17"/>
      <c r="D6" s="3" t="str">
        <f>交付簿[[#This Row],[自動反映
登録番号]]</f>
        <v xml:space="preserve">   </v>
      </c>
      <c r="E6" s="162">
        <f>交付簿[[#This Row],[車両使用者
氏名]]</f>
        <v>0</v>
      </c>
      <c r="F6" s="5"/>
      <c r="G6" s="180" t="str">
        <f>RIGHT(TEXT($P$1,"y"),2)</f>
        <v>25</v>
      </c>
      <c r="H6" s="40">
        <f>交付簿[[#This Row],[コード]]</f>
        <v>441015</v>
      </c>
      <c r="I6" s="40" t="e">
        <f>_xlfn.IFS(交付簿[[#This Row],[列27]]=1,"00",交付簿[[#This Row],[列27]]=2,"01")</f>
        <v>#N/A</v>
      </c>
      <c r="J6" s="40" t="str">
        <f>IF(交付簿[[#This Row],[列24]]=1,"1","4")</f>
        <v>4</v>
      </c>
      <c r="K6" s="24" t="s">
        <v>172</v>
      </c>
      <c r="L6" s="44"/>
      <c r="M6" s="44"/>
      <c r="N6" s="45"/>
      <c r="O6" s="101"/>
      <c r="P6" s="101"/>
      <c r="Q6" s="114"/>
      <c r="R6" s="115"/>
      <c r="S6" s="115"/>
      <c r="T6" s="116"/>
      <c r="U6" s="116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17">
        <f>交付簿[[#This Row],[列23]]</f>
        <v>1827</v>
      </c>
      <c r="AQ6" s="172"/>
      <c r="AR6" s="101"/>
      <c r="AS6" s="101"/>
      <c r="AT6" s="110"/>
      <c r="AU6" s="111"/>
      <c r="AV6" s="110"/>
      <c r="AW6" s="111"/>
      <c r="AX6" s="112"/>
      <c r="AY6" s="101"/>
      <c r="AZ6" s="185" t="e">
        <f t="shared" si="1"/>
        <v>#N/A</v>
      </c>
      <c r="BA6" s="19" t="str">
        <f t="shared" ref="BA6:BA22" si="4">Q6&amp;" "&amp;R6&amp;" "&amp;S6&amp;" "&amp;T6</f>
        <v xml:space="preserve">   </v>
      </c>
      <c r="BB6" s="3" t="str">
        <f t="shared" si="2"/>
        <v>令和</v>
      </c>
      <c r="BC6" s="165">
        <f>DATE(YEAR(交付簿[[#This Row],[交付年月日]])+5,MONTH(交付簿[[#This Row],[交付年月日]]),DAY(交付簿[[#This Row],[交付年月日]]))</f>
        <v>1827</v>
      </c>
      <c r="BD6" s="165">
        <f>MIN(交付簿[[#This Row],[列22]],交付簿[[#This Row],[委託
（委託：２）]])</f>
        <v>1827</v>
      </c>
      <c r="BE6" s="2" t="str">
        <f t="shared" si="3"/>
        <v>千葉中央</v>
      </c>
      <c r="BF6" s="2">
        <f>VLOOKUP(交付簿[[#This Row],[警察署名]],署コード,2,FALSE)</f>
        <v>441015</v>
      </c>
      <c r="BG6" s="101"/>
      <c r="BH6" s="101"/>
    </row>
    <row r="7" spans="1:60" s="2" customFormat="1" ht="36" customHeight="1" x14ac:dyDescent="0.45">
      <c r="A7" s="88">
        <f t="shared" ref="A7:A25" si="5">ROW()-5</f>
        <v>2</v>
      </c>
      <c r="B7" s="118"/>
      <c r="C7" s="17"/>
      <c r="D7" s="3" t="str">
        <f>交付簿[[#This Row],[自動反映
登録番号]]</f>
        <v xml:space="preserve">   </v>
      </c>
      <c r="E7" s="162">
        <f>交付簿[[#This Row],[車両使用者
氏名]]</f>
        <v>0</v>
      </c>
      <c r="F7" s="5"/>
      <c r="G7" s="180" t="str">
        <f t="shared" ref="G7:G25" si="6">RIGHT(TEXT($P$1,"y"),2)</f>
        <v>25</v>
      </c>
      <c r="H7" s="40">
        <f>交付簿[[#This Row],[コード]]</f>
        <v>441015</v>
      </c>
      <c r="I7" s="40" t="e">
        <f>_xlfn.IFS(交付簿[[#This Row],[列27]]=1,"00",交付簿[[#This Row],[列27]]=2,"01")</f>
        <v>#N/A</v>
      </c>
      <c r="J7" s="40" t="str">
        <f>IF(交付簿[[#This Row],[列24]]=1,"1","4")</f>
        <v>4</v>
      </c>
      <c r="K7" s="24" t="s">
        <v>173</v>
      </c>
      <c r="L7" s="44"/>
      <c r="M7" s="44"/>
      <c r="N7" s="45"/>
      <c r="O7" s="101"/>
      <c r="P7" s="101"/>
      <c r="Q7" s="114"/>
      <c r="R7" s="115"/>
      <c r="S7" s="115"/>
      <c r="T7" s="116"/>
      <c r="U7" s="116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17">
        <f>交付簿[[#This Row],[列23]]</f>
        <v>1827</v>
      </c>
      <c r="AQ7" s="172"/>
      <c r="AR7" s="101"/>
      <c r="AS7" s="101"/>
      <c r="AT7" s="110"/>
      <c r="AU7" s="111"/>
      <c r="AV7" s="110"/>
      <c r="AW7" s="111"/>
      <c r="AX7" s="112"/>
      <c r="AY7" s="101"/>
      <c r="AZ7" s="185" t="e">
        <f t="shared" si="1"/>
        <v>#N/A</v>
      </c>
      <c r="BA7" s="19" t="str">
        <f t="shared" si="4"/>
        <v xml:space="preserve">   </v>
      </c>
      <c r="BB7" s="3" t="str">
        <f t="shared" si="2"/>
        <v>令和</v>
      </c>
      <c r="BC7" s="165">
        <f>DATE(YEAR(交付簿[[#This Row],[交付年月日]])+5,MONTH(交付簿[[#This Row],[交付年月日]]),DAY(交付簿[[#This Row],[交付年月日]]))</f>
        <v>1827</v>
      </c>
      <c r="BD7" s="165">
        <f>MIN(交付簿[[#This Row],[列22]],交付簿[[#This Row],[委託
（委託：２）]])</f>
        <v>1827</v>
      </c>
      <c r="BE7" s="2" t="str">
        <f t="shared" si="3"/>
        <v>千葉中央</v>
      </c>
      <c r="BF7" s="2">
        <f>VLOOKUP(交付簿[[#This Row],[警察署名]],署コード,2,FALSE)</f>
        <v>441015</v>
      </c>
      <c r="BG7" s="101"/>
      <c r="BH7" s="101"/>
    </row>
    <row r="8" spans="1:60" s="2" customFormat="1" ht="36" customHeight="1" x14ac:dyDescent="0.45">
      <c r="A8" s="88">
        <f t="shared" si="5"/>
        <v>3</v>
      </c>
      <c r="B8" s="118"/>
      <c r="C8" s="5"/>
      <c r="D8" s="3" t="str">
        <f>交付簿[[#This Row],[自動反映
登録番号]]</f>
        <v xml:space="preserve">   </v>
      </c>
      <c r="E8" s="162">
        <f>交付簿[[#This Row],[車両使用者
氏名]]</f>
        <v>0</v>
      </c>
      <c r="F8" s="5"/>
      <c r="G8" s="180" t="str">
        <f t="shared" si="6"/>
        <v>25</v>
      </c>
      <c r="H8" s="40">
        <f>交付簿[[#This Row],[コード]]</f>
        <v>441015</v>
      </c>
      <c r="I8" s="40" t="e">
        <f>_xlfn.IFS(交付簿[[#This Row],[列27]]=1,"00",交付簿[[#This Row],[列27]]=2,"01")</f>
        <v>#N/A</v>
      </c>
      <c r="J8" s="40" t="str">
        <f>IF(交付簿[[#This Row],[列24]]=1,"1","4")</f>
        <v>4</v>
      </c>
      <c r="K8" s="24" t="s">
        <v>174</v>
      </c>
      <c r="L8" s="44"/>
      <c r="M8" s="44"/>
      <c r="N8" s="45"/>
      <c r="O8" s="101"/>
      <c r="P8" s="101"/>
      <c r="Q8" s="114"/>
      <c r="R8" s="115"/>
      <c r="S8" s="115"/>
      <c r="T8" s="116"/>
      <c r="U8" s="116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17">
        <f>交付簿[[#This Row],[列23]]</f>
        <v>1827</v>
      </c>
      <c r="AQ8" s="172"/>
      <c r="AR8" s="101"/>
      <c r="AS8" s="101"/>
      <c r="AT8" s="110"/>
      <c r="AU8" s="111"/>
      <c r="AV8" s="110"/>
      <c r="AW8" s="111"/>
      <c r="AX8" s="112"/>
      <c r="AY8" s="101"/>
      <c r="AZ8" s="185" t="e">
        <f t="shared" si="1"/>
        <v>#N/A</v>
      </c>
      <c r="BA8" s="19" t="str">
        <f t="shared" si="4"/>
        <v xml:space="preserve">   </v>
      </c>
      <c r="BB8" s="3" t="str">
        <f t="shared" si="2"/>
        <v>令和</v>
      </c>
      <c r="BC8" s="165">
        <f>DATE(YEAR(交付簿[[#This Row],[交付年月日]])+5,MONTH(交付簿[[#This Row],[交付年月日]]),DAY(交付簿[[#This Row],[交付年月日]]))</f>
        <v>1827</v>
      </c>
      <c r="BD8" s="165">
        <f>MIN(交付簿[[#This Row],[列22]],交付簿[[#This Row],[委託
（委託：２）]])</f>
        <v>1827</v>
      </c>
      <c r="BE8" s="2" t="str">
        <f t="shared" si="3"/>
        <v>千葉中央</v>
      </c>
      <c r="BF8" s="2">
        <f>VLOOKUP(交付簿[[#This Row],[警察署名]],署コード,2,FALSE)</f>
        <v>441015</v>
      </c>
      <c r="BG8" s="101"/>
      <c r="BH8" s="101"/>
    </row>
    <row r="9" spans="1:60" s="2" customFormat="1" ht="36" customHeight="1" x14ac:dyDescent="0.45">
      <c r="A9" s="88">
        <f t="shared" si="5"/>
        <v>4</v>
      </c>
      <c r="B9" s="118"/>
      <c r="C9" s="5"/>
      <c r="D9" s="3" t="str">
        <f>交付簿[[#This Row],[自動反映
登録番号]]</f>
        <v xml:space="preserve">   </v>
      </c>
      <c r="E9" s="162">
        <f>交付簿[[#This Row],[車両使用者
氏名]]</f>
        <v>0</v>
      </c>
      <c r="F9" s="5"/>
      <c r="G9" s="180" t="str">
        <f t="shared" si="6"/>
        <v>25</v>
      </c>
      <c r="H9" s="40">
        <f>交付簿[[#This Row],[コード]]</f>
        <v>441015</v>
      </c>
      <c r="I9" s="40" t="e">
        <f>_xlfn.IFS(交付簿[[#This Row],[列27]]=1,"00",交付簿[[#This Row],[列27]]=2,"01")</f>
        <v>#N/A</v>
      </c>
      <c r="J9" s="40" t="str">
        <f>IF(交付簿[[#This Row],[列24]]=1,"1","4")</f>
        <v>4</v>
      </c>
      <c r="K9" s="41"/>
      <c r="L9" s="44"/>
      <c r="M9" s="44"/>
      <c r="N9" s="45"/>
      <c r="O9" s="101"/>
      <c r="P9" s="101"/>
      <c r="Q9" s="114"/>
      <c r="R9" s="115"/>
      <c r="S9" s="115"/>
      <c r="T9" s="116"/>
      <c r="U9" s="116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17">
        <f>交付簿[[#This Row],[列23]]</f>
        <v>1827</v>
      </c>
      <c r="AQ9" s="172"/>
      <c r="AR9" s="101"/>
      <c r="AS9" s="101"/>
      <c r="AT9" s="110"/>
      <c r="AU9" s="111"/>
      <c r="AV9" s="110"/>
      <c r="AW9" s="111"/>
      <c r="AX9" s="112"/>
      <c r="AY9" s="101"/>
      <c r="AZ9" s="185" t="e">
        <f t="shared" si="1"/>
        <v>#N/A</v>
      </c>
      <c r="BA9" s="19" t="str">
        <f t="shared" si="4"/>
        <v xml:space="preserve">   </v>
      </c>
      <c r="BB9" s="3" t="str">
        <f t="shared" si="2"/>
        <v>令和</v>
      </c>
      <c r="BC9" s="165">
        <f>DATE(YEAR(交付簿[[#This Row],[交付年月日]])+5,MONTH(交付簿[[#This Row],[交付年月日]]),DAY(交付簿[[#This Row],[交付年月日]]))</f>
        <v>1827</v>
      </c>
      <c r="BD9" s="165">
        <f>MIN(交付簿[[#This Row],[列22]],交付簿[[#This Row],[委託
（委託：２）]])</f>
        <v>1827</v>
      </c>
      <c r="BE9" s="2" t="str">
        <f t="shared" si="3"/>
        <v>千葉中央</v>
      </c>
      <c r="BF9" s="2">
        <f>VLOOKUP(交付簿[[#This Row],[警察署名]],署コード,2,FALSE)</f>
        <v>441015</v>
      </c>
      <c r="BG9" s="101"/>
      <c r="BH9" s="101"/>
    </row>
    <row r="10" spans="1:60" s="2" customFormat="1" ht="36" customHeight="1" x14ac:dyDescent="0.45">
      <c r="A10" s="88">
        <f t="shared" si="5"/>
        <v>5</v>
      </c>
      <c r="B10" s="118"/>
      <c r="C10" s="5"/>
      <c r="D10" s="3" t="str">
        <f>交付簿[[#This Row],[自動反映
登録番号]]</f>
        <v xml:space="preserve">   </v>
      </c>
      <c r="E10" s="162">
        <f>交付簿[[#This Row],[車両使用者
氏名]]</f>
        <v>0</v>
      </c>
      <c r="F10" s="5"/>
      <c r="G10" s="180" t="str">
        <f t="shared" si="6"/>
        <v>25</v>
      </c>
      <c r="H10" s="40">
        <f>交付簿[[#This Row],[コード]]</f>
        <v>441015</v>
      </c>
      <c r="I10" s="40" t="e">
        <f>_xlfn.IFS(交付簿[[#This Row],[列27]]=1,"00",交付簿[[#This Row],[列27]]=2,"01")</f>
        <v>#N/A</v>
      </c>
      <c r="J10" s="40" t="str">
        <f>IF(交付簿[[#This Row],[列24]]=1,"1","4")</f>
        <v>4</v>
      </c>
      <c r="K10" s="41"/>
      <c r="L10" s="44"/>
      <c r="M10" s="44"/>
      <c r="N10" s="45"/>
      <c r="O10" s="101"/>
      <c r="P10" s="101"/>
      <c r="Q10" s="114"/>
      <c r="R10" s="115"/>
      <c r="S10" s="115"/>
      <c r="T10" s="116"/>
      <c r="U10" s="116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17">
        <f>交付簿[[#This Row],[列23]]</f>
        <v>1827</v>
      </c>
      <c r="AQ10" s="172"/>
      <c r="AR10" s="101"/>
      <c r="AS10" s="101"/>
      <c r="AT10" s="110"/>
      <c r="AU10" s="111"/>
      <c r="AV10" s="110"/>
      <c r="AW10" s="111"/>
      <c r="AX10" s="112"/>
      <c r="AY10" s="101"/>
      <c r="AZ10" s="185" t="e">
        <f t="shared" si="1"/>
        <v>#N/A</v>
      </c>
      <c r="BA10" s="19" t="str">
        <f t="shared" si="4"/>
        <v xml:space="preserve">   </v>
      </c>
      <c r="BB10" s="3" t="str">
        <f t="shared" si="2"/>
        <v>令和</v>
      </c>
      <c r="BC10" s="165">
        <f>DATE(YEAR(交付簿[[#This Row],[交付年月日]])+5,MONTH(交付簿[[#This Row],[交付年月日]]),DAY(交付簿[[#This Row],[交付年月日]]))</f>
        <v>1827</v>
      </c>
      <c r="BD10" s="165">
        <f>MIN(交付簿[[#This Row],[列22]],交付簿[[#This Row],[委託
（委託：２）]])</f>
        <v>1827</v>
      </c>
      <c r="BE10" s="2" t="str">
        <f t="shared" si="3"/>
        <v>千葉中央</v>
      </c>
      <c r="BF10" s="2">
        <f>VLOOKUP(交付簿[[#This Row],[警察署名]],署コード,2,FALSE)</f>
        <v>441015</v>
      </c>
      <c r="BG10" s="101"/>
      <c r="BH10" s="101"/>
    </row>
    <row r="11" spans="1:60" s="2" customFormat="1" ht="36" customHeight="1" x14ac:dyDescent="0.45">
      <c r="A11" s="88">
        <f t="shared" si="5"/>
        <v>6</v>
      </c>
      <c r="B11" s="118"/>
      <c r="C11" s="5"/>
      <c r="D11" s="3" t="str">
        <f>交付簿[[#This Row],[自動反映
登録番号]]</f>
        <v xml:space="preserve">   </v>
      </c>
      <c r="E11" s="162">
        <f>交付簿[[#This Row],[車両使用者
氏名]]</f>
        <v>0</v>
      </c>
      <c r="F11" s="5"/>
      <c r="G11" s="180" t="str">
        <f t="shared" si="6"/>
        <v>25</v>
      </c>
      <c r="H11" s="40">
        <f>交付簿[[#This Row],[コード]]</f>
        <v>441015</v>
      </c>
      <c r="I11" s="40" t="e">
        <f>_xlfn.IFS(交付簿[[#This Row],[列27]]=1,"00",交付簿[[#This Row],[列27]]=2,"01")</f>
        <v>#N/A</v>
      </c>
      <c r="J11" s="40" t="str">
        <f>IF(交付簿[[#This Row],[列24]]=1,"1","4")</f>
        <v>4</v>
      </c>
      <c r="K11" s="41"/>
      <c r="L11" s="44"/>
      <c r="M11" s="44"/>
      <c r="N11" s="45"/>
      <c r="O11" s="101"/>
      <c r="P11" s="101"/>
      <c r="Q11" s="114"/>
      <c r="R11" s="115"/>
      <c r="S11" s="115"/>
      <c r="T11" s="116"/>
      <c r="U11" s="116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17">
        <f>交付簿[[#This Row],[列23]]</f>
        <v>1827</v>
      </c>
      <c r="AQ11" s="172"/>
      <c r="AR11" s="101"/>
      <c r="AS11" s="101"/>
      <c r="AT11" s="110"/>
      <c r="AU11" s="111"/>
      <c r="AV11" s="110"/>
      <c r="AW11" s="111"/>
      <c r="AX11" s="112"/>
      <c r="AY11" s="101"/>
      <c r="AZ11" s="185" t="e">
        <f t="shared" si="1"/>
        <v>#N/A</v>
      </c>
      <c r="BA11" s="19" t="str">
        <f t="shared" si="4"/>
        <v xml:space="preserve">   </v>
      </c>
      <c r="BB11" s="3" t="str">
        <f t="shared" si="2"/>
        <v>令和</v>
      </c>
      <c r="BC11" s="165">
        <f>DATE(YEAR(交付簿[[#This Row],[交付年月日]])+5,MONTH(交付簿[[#This Row],[交付年月日]]),DAY(交付簿[[#This Row],[交付年月日]]))</f>
        <v>1827</v>
      </c>
      <c r="BD11" s="165">
        <f>MIN(交付簿[[#This Row],[列22]],交付簿[[#This Row],[委託
（委託：２）]])</f>
        <v>1827</v>
      </c>
      <c r="BE11" s="2" t="str">
        <f t="shared" si="3"/>
        <v>千葉中央</v>
      </c>
      <c r="BF11" s="2">
        <f>VLOOKUP(交付簿[[#This Row],[警察署名]],署コード,2,FALSE)</f>
        <v>441015</v>
      </c>
      <c r="BG11" s="101"/>
      <c r="BH11" s="101"/>
    </row>
    <row r="12" spans="1:60" s="2" customFormat="1" ht="36" customHeight="1" x14ac:dyDescent="0.45">
      <c r="A12" s="88">
        <f t="shared" si="5"/>
        <v>7</v>
      </c>
      <c r="B12" s="118"/>
      <c r="C12" s="5"/>
      <c r="D12" s="3" t="str">
        <f>交付簿[[#This Row],[自動反映
登録番号]]</f>
        <v xml:space="preserve">   </v>
      </c>
      <c r="E12" s="162">
        <f>交付簿[[#This Row],[車両使用者
氏名]]</f>
        <v>0</v>
      </c>
      <c r="F12" s="5"/>
      <c r="G12" s="180" t="str">
        <f t="shared" si="6"/>
        <v>25</v>
      </c>
      <c r="H12" s="40">
        <f>交付簿[[#This Row],[コード]]</f>
        <v>441015</v>
      </c>
      <c r="I12" s="40" t="e">
        <f>_xlfn.IFS(交付簿[[#This Row],[列27]]=1,"00",交付簿[[#This Row],[列27]]=2,"01")</f>
        <v>#N/A</v>
      </c>
      <c r="J12" s="40" t="str">
        <f>IF(交付簿[[#This Row],[列24]]=1,"1","4")</f>
        <v>4</v>
      </c>
      <c r="K12" s="41"/>
      <c r="L12" s="44"/>
      <c r="M12" s="44"/>
      <c r="N12" s="45"/>
      <c r="O12" s="101"/>
      <c r="P12" s="101"/>
      <c r="Q12" s="114"/>
      <c r="R12" s="115"/>
      <c r="S12" s="115"/>
      <c r="T12" s="116"/>
      <c r="U12" s="116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17">
        <f>交付簿[[#This Row],[列23]]</f>
        <v>1827</v>
      </c>
      <c r="AQ12" s="172"/>
      <c r="AR12" s="101"/>
      <c r="AS12" s="101"/>
      <c r="AT12" s="110"/>
      <c r="AU12" s="111"/>
      <c r="AV12" s="110"/>
      <c r="AW12" s="111"/>
      <c r="AX12" s="112"/>
      <c r="AY12" s="101"/>
      <c r="AZ12" s="185" t="e">
        <f t="shared" si="1"/>
        <v>#N/A</v>
      </c>
      <c r="BA12" s="19" t="str">
        <f t="shared" si="4"/>
        <v xml:space="preserve">   </v>
      </c>
      <c r="BB12" s="3" t="str">
        <f t="shared" si="2"/>
        <v>令和</v>
      </c>
      <c r="BC12" s="165">
        <f>DATE(YEAR(交付簿[[#This Row],[交付年月日]])+5,MONTH(交付簿[[#This Row],[交付年月日]]),DAY(交付簿[[#This Row],[交付年月日]]))</f>
        <v>1827</v>
      </c>
      <c r="BD12" s="165">
        <f>MIN(交付簿[[#This Row],[列22]],交付簿[[#This Row],[委託
（委託：２）]])</f>
        <v>1827</v>
      </c>
      <c r="BE12" s="2" t="str">
        <f t="shared" si="3"/>
        <v>千葉中央</v>
      </c>
      <c r="BF12" s="2">
        <f>VLOOKUP(交付簿[[#This Row],[警察署名]],署コード,2,FALSE)</f>
        <v>441015</v>
      </c>
      <c r="BG12" s="101"/>
      <c r="BH12" s="101"/>
    </row>
    <row r="13" spans="1:60" s="2" customFormat="1" ht="36" customHeight="1" x14ac:dyDescent="0.45">
      <c r="A13" s="88">
        <f t="shared" si="5"/>
        <v>8</v>
      </c>
      <c r="B13" s="118"/>
      <c r="C13" s="5"/>
      <c r="D13" s="3" t="str">
        <f>交付簿[[#This Row],[自動反映
登録番号]]</f>
        <v xml:space="preserve">   </v>
      </c>
      <c r="E13" s="162">
        <f>交付簿[[#This Row],[車両使用者
氏名]]</f>
        <v>0</v>
      </c>
      <c r="F13" s="5"/>
      <c r="G13" s="180" t="str">
        <f t="shared" si="6"/>
        <v>25</v>
      </c>
      <c r="H13" s="40">
        <f>交付簿[[#This Row],[コード]]</f>
        <v>441015</v>
      </c>
      <c r="I13" s="40" t="e">
        <f>_xlfn.IFS(交付簿[[#This Row],[列27]]=1,"00",交付簿[[#This Row],[列27]]=2,"01")</f>
        <v>#N/A</v>
      </c>
      <c r="J13" s="40" t="str">
        <f>IF(交付簿[[#This Row],[列24]]=1,"1","4")</f>
        <v>4</v>
      </c>
      <c r="K13" s="41"/>
      <c r="L13" s="44"/>
      <c r="M13" s="44"/>
      <c r="N13" s="45"/>
      <c r="O13" s="101"/>
      <c r="P13" s="101"/>
      <c r="Q13" s="114"/>
      <c r="R13" s="115"/>
      <c r="S13" s="115"/>
      <c r="T13" s="116"/>
      <c r="U13" s="116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17">
        <f>交付簿[[#This Row],[列23]]</f>
        <v>1827</v>
      </c>
      <c r="AQ13" s="172"/>
      <c r="AR13" s="101"/>
      <c r="AS13" s="101"/>
      <c r="AT13" s="110"/>
      <c r="AU13" s="111"/>
      <c r="AV13" s="110"/>
      <c r="AW13" s="111"/>
      <c r="AX13" s="112"/>
      <c r="AY13" s="101"/>
      <c r="AZ13" s="185" t="e">
        <f t="shared" si="1"/>
        <v>#N/A</v>
      </c>
      <c r="BA13" s="19" t="str">
        <f t="shared" si="4"/>
        <v xml:space="preserve">   </v>
      </c>
      <c r="BB13" s="3" t="str">
        <f t="shared" si="2"/>
        <v>令和</v>
      </c>
      <c r="BC13" s="165">
        <f>DATE(YEAR(交付簿[[#This Row],[交付年月日]])+5,MONTH(交付簿[[#This Row],[交付年月日]]),DAY(交付簿[[#This Row],[交付年月日]]))</f>
        <v>1827</v>
      </c>
      <c r="BD13" s="165">
        <f>MIN(交付簿[[#This Row],[列22]],交付簿[[#This Row],[委託
（委託：２）]])</f>
        <v>1827</v>
      </c>
      <c r="BE13" s="2" t="str">
        <f t="shared" si="3"/>
        <v>千葉中央</v>
      </c>
      <c r="BF13" s="2">
        <f>VLOOKUP(交付簿[[#This Row],[警察署名]],署コード,2,FALSE)</f>
        <v>441015</v>
      </c>
      <c r="BG13" s="101"/>
      <c r="BH13" s="101"/>
    </row>
    <row r="14" spans="1:60" s="2" customFormat="1" ht="36" customHeight="1" x14ac:dyDescent="0.45">
      <c r="A14" s="88">
        <f t="shared" si="5"/>
        <v>9</v>
      </c>
      <c r="B14" s="118"/>
      <c r="C14" s="5"/>
      <c r="D14" s="3" t="str">
        <f>交付簿[[#This Row],[自動反映
登録番号]]</f>
        <v xml:space="preserve">   </v>
      </c>
      <c r="E14" s="162">
        <f>交付簿[[#This Row],[車両使用者
氏名]]</f>
        <v>0</v>
      </c>
      <c r="F14" s="5"/>
      <c r="G14" s="180" t="str">
        <f t="shared" si="6"/>
        <v>25</v>
      </c>
      <c r="H14" s="40">
        <f>交付簿[[#This Row],[コード]]</f>
        <v>441015</v>
      </c>
      <c r="I14" s="40" t="e">
        <f>_xlfn.IFS(交付簿[[#This Row],[列27]]=1,"00",交付簿[[#This Row],[列27]]=2,"01")</f>
        <v>#N/A</v>
      </c>
      <c r="J14" s="40" t="str">
        <f>IF(交付簿[[#This Row],[列24]]=1,"1","4")</f>
        <v>4</v>
      </c>
      <c r="K14" s="41"/>
      <c r="L14" s="44"/>
      <c r="M14" s="44"/>
      <c r="N14" s="45"/>
      <c r="O14" s="101"/>
      <c r="P14" s="101"/>
      <c r="Q14" s="114"/>
      <c r="R14" s="115"/>
      <c r="S14" s="115"/>
      <c r="T14" s="116"/>
      <c r="U14" s="116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17">
        <f>交付簿[[#This Row],[列23]]</f>
        <v>1827</v>
      </c>
      <c r="AQ14" s="172"/>
      <c r="AR14" s="101"/>
      <c r="AS14" s="101"/>
      <c r="AT14" s="110"/>
      <c r="AU14" s="111"/>
      <c r="AV14" s="110"/>
      <c r="AW14" s="111"/>
      <c r="AX14" s="112"/>
      <c r="AY14" s="101"/>
      <c r="AZ14" s="185" t="e">
        <f t="shared" si="1"/>
        <v>#N/A</v>
      </c>
      <c r="BA14" s="19" t="str">
        <f t="shared" si="4"/>
        <v xml:space="preserve">   </v>
      </c>
      <c r="BB14" s="3" t="str">
        <f t="shared" si="2"/>
        <v>令和</v>
      </c>
      <c r="BC14" s="165">
        <f>DATE(YEAR(交付簿[[#This Row],[交付年月日]])+5,MONTH(交付簿[[#This Row],[交付年月日]]),DAY(交付簿[[#This Row],[交付年月日]]))</f>
        <v>1827</v>
      </c>
      <c r="BD14" s="165">
        <f>MIN(交付簿[[#This Row],[列22]],交付簿[[#This Row],[委託
（委託：２）]])</f>
        <v>1827</v>
      </c>
      <c r="BE14" s="2" t="str">
        <f t="shared" si="3"/>
        <v>千葉中央</v>
      </c>
      <c r="BF14" s="2">
        <f>VLOOKUP(交付簿[[#This Row],[警察署名]],署コード,2,FALSE)</f>
        <v>441015</v>
      </c>
      <c r="BG14" s="101"/>
      <c r="BH14" s="101"/>
    </row>
    <row r="15" spans="1:60" ht="36" customHeight="1" x14ac:dyDescent="0.45">
      <c r="A15" s="88">
        <f t="shared" si="5"/>
        <v>10</v>
      </c>
      <c r="B15" s="118"/>
      <c r="C15" s="5"/>
      <c r="D15" s="86" t="str">
        <f>交付簿[[#This Row],[自動反映
登録番号]]</f>
        <v xml:space="preserve">   </v>
      </c>
      <c r="E15" s="162">
        <f>交付簿[[#This Row],[車両使用者
氏名]]</f>
        <v>0</v>
      </c>
      <c r="F15" s="5"/>
      <c r="G15" s="180" t="str">
        <f t="shared" si="6"/>
        <v>25</v>
      </c>
      <c r="H15" s="40">
        <f>交付簿[[#This Row],[コード]]</f>
        <v>441015</v>
      </c>
      <c r="I15" s="40" t="e">
        <f>_xlfn.IFS(交付簿[[#This Row],[列27]]=1,"00",交付簿[[#This Row],[列27]]=2,"01")</f>
        <v>#N/A</v>
      </c>
      <c r="J15" s="40" t="str">
        <f>IF(交付簿[[#This Row],[列24]]=1,"1","4")</f>
        <v>4</v>
      </c>
      <c r="K15" s="41"/>
      <c r="L15" s="44"/>
      <c r="M15" s="44"/>
      <c r="N15" s="45"/>
      <c r="O15" s="101"/>
      <c r="P15" s="101"/>
      <c r="Q15" s="114"/>
      <c r="R15" s="115"/>
      <c r="S15" s="115"/>
      <c r="T15" s="116"/>
      <c r="U15" s="116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17">
        <f>交付簿[[#This Row],[列23]]</f>
        <v>1827</v>
      </c>
      <c r="AQ15" s="172"/>
      <c r="AR15" s="101"/>
      <c r="AS15" s="101"/>
      <c r="AT15" s="110"/>
      <c r="AU15" s="111"/>
      <c r="AV15" s="110"/>
      <c r="AW15" s="111"/>
      <c r="AX15" s="112"/>
      <c r="AY15" s="101"/>
      <c r="AZ15" s="185" t="e">
        <f t="shared" si="1"/>
        <v>#N/A</v>
      </c>
      <c r="BA15" s="19" t="str">
        <f t="shared" si="4"/>
        <v xml:space="preserve">   </v>
      </c>
      <c r="BB15" s="3" t="str">
        <f t="shared" si="2"/>
        <v>令和</v>
      </c>
      <c r="BC15" s="165">
        <f>DATE(YEAR(交付簿[[#This Row],[交付年月日]])+5,MONTH(交付簿[[#This Row],[交付年月日]]),DAY(交付簿[[#This Row],[交付年月日]]))</f>
        <v>1827</v>
      </c>
      <c r="BD15" s="165">
        <f>MIN(交付簿[[#This Row],[列22]],交付簿[[#This Row],[委託
（委託：２）]])</f>
        <v>1827</v>
      </c>
      <c r="BE15" s="2" t="str">
        <f t="shared" si="3"/>
        <v>千葉中央</v>
      </c>
      <c r="BF15" s="2">
        <f>VLOOKUP(交付簿[[#This Row],[警察署名]],署コード,2,FALSE)</f>
        <v>441015</v>
      </c>
      <c r="BG15" s="101"/>
      <c r="BH15" s="101"/>
    </row>
    <row r="16" spans="1:60" ht="36" customHeight="1" x14ac:dyDescent="0.45">
      <c r="A16" s="88">
        <f t="shared" si="5"/>
        <v>11</v>
      </c>
      <c r="B16" s="118"/>
      <c r="C16" s="5"/>
      <c r="D16" s="86" t="str">
        <f>交付簿[[#This Row],[自動反映
登録番号]]</f>
        <v xml:space="preserve">   </v>
      </c>
      <c r="E16" s="162">
        <f>交付簿[[#This Row],[車両使用者
氏名]]</f>
        <v>0</v>
      </c>
      <c r="F16" s="5"/>
      <c r="G16" s="180" t="str">
        <f t="shared" si="6"/>
        <v>25</v>
      </c>
      <c r="H16" s="40">
        <f>交付簿[[#This Row],[コード]]</f>
        <v>441015</v>
      </c>
      <c r="I16" s="40" t="e">
        <f>_xlfn.IFS(交付簿[[#This Row],[列27]]=1,"00",交付簿[[#This Row],[列27]]=2,"01")</f>
        <v>#N/A</v>
      </c>
      <c r="J16" s="40" t="str">
        <f>IF(交付簿[[#This Row],[列24]]=1,"1","4")</f>
        <v>4</v>
      </c>
      <c r="K16" s="41"/>
      <c r="L16" s="44"/>
      <c r="M16" s="44"/>
      <c r="N16" s="45"/>
      <c r="O16" s="101"/>
      <c r="P16" s="101"/>
      <c r="Q16" s="114"/>
      <c r="R16" s="115"/>
      <c r="S16" s="115"/>
      <c r="T16" s="116"/>
      <c r="U16" s="116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17">
        <f>交付簿[[#This Row],[列23]]</f>
        <v>1827</v>
      </c>
      <c r="AQ16" s="172"/>
      <c r="AR16" s="101"/>
      <c r="AS16" s="101"/>
      <c r="AT16" s="110"/>
      <c r="AU16" s="111"/>
      <c r="AV16" s="110"/>
      <c r="AW16" s="111"/>
      <c r="AX16" s="112"/>
      <c r="AY16" s="101"/>
      <c r="AZ16" s="185" t="e">
        <f t="shared" si="1"/>
        <v>#N/A</v>
      </c>
      <c r="BA16" s="19" t="str">
        <f t="shared" si="4"/>
        <v xml:space="preserve">   </v>
      </c>
      <c r="BB16" s="3" t="str">
        <f t="shared" si="2"/>
        <v>令和</v>
      </c>
      <c r="BC16" s="165">
        <f>DATE(YEAR(交付簿[[#This Row],[交付年月日]])+5,MONTH(交付簿[[#This Row],[交付年月日]]),DAY(交付簿[[#This Row],[交付年月日]]))</f>
        <v>1827</v>
      </c>
      <c r="BD16" s="165">
        <f>MIN(交付簿[[#This Row],[列22]],交付簿[[#This Row],[委託
（委託：２）]])</f>
        <v>1827</v>
      </c>
      <c r="BE16" s="2" t="str">
        <f t="shared" si="3"/>
        <v>千葉中央</v>
      </c>
      <c r="BF16" s="2">
        <f>VLOOKUP(交付簿[[#This Row],[警察署名]],署コード,2,FALSE)</f>
        <v>441015</v>
      </c>
      <c r="BG16" s="101"/>
      <c r="BH16" s="101"/>
    </row>
    <row r="17" spans="1:60" ht="36" customHeight="1" x14ac:dyDescent="0.45">
      <c r="A17" s="88">
        <f t="shared" si="5"/>
        <v>12</v>
      </c>
      <c r="B17" s="118"/>
      <c r="C17" s="5"/>
      <c r="D17" s="86" t="str">
        <f>交付簿[[#This Row],[自動反映
登録番号]]</f>
        <v xml:space="preserve">   </v>
      </c>
      <c r="E17" s="162">
        <f>交付簿[[#This Row],[車両使用者
氏名]]</f>
        <v>0</v>
      </c>
      <c r="F17" s="5"/>
      <c r="G17" s="180" t="str">
        <f t="shared" si="6"/>
        <v>25</v>
      </c>
      <c r="H17" s="40">
        <f>交付簿[[#This Row],[コード]]</f>
        <v>441015</v>
      </c>
      <c r="I17" s="40" t="e">
        <f>_xlfn.IFS(交付簿[[#This Row],[列27]]=1,"00",交付簿[[#This Row],[列27]]=2,"01")</f>
        <v>#N/A</v>
      </c>
      <c r="J17" s="40" t="str">
        <f>IF(交付簿[[#This Row],[列24]]=1,"1","4")</f>
        <v>4</v>
      </c>
      <c r="K17" s="41"/>
      <c r="L17" s="44"/>
      <c r="M17" s="44"/>
      <c r="N17" s="45"/>
      <c r="O17" s="101"/>
      <c r="P17" s="101"/>
      <c r="Q17" s="114"/>
      <c r="R17" s="115"/>
      <c r="S17" s="115"/>
      <c r="T17" s="116"/>
      <c r="U17" s="116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17">
        <f>交付簿[[#This Row],[列23]]</f>
        <v>1827</v>
      </c>
      <c r="AQ17" s="172"/>
      <c r="AR17" s="101"/>
      <c r="AS17" s="101"/>
      <c r="AT17" s="110"/>
      <c r="AU17" s="111"/>
      <c r="AV17" s="110"/>
      <c r="AW17" s="111"/>
      <c r="AX17" s="112"/>
      <c r="AY17" s="101"/>
      <c r="AZ17" s="185" t="e">
        <f t="shared" si="1"/>
        <v>#N/A</v>
      </c>
      <c r="BA17" s="19" t="str">
        <f t="shared" si="4"/>
        <v xml:space="preserve">   </v>
      </c>
      <c r="BB17" s="3" t="str">
        <f t="shared" si="2"/>
        <v>令和</v>
      </c>
      <c r="BC17" s="165">
        <f>DATE(YEAR(交付簿[[#This Row],[交付年月日]])+5,MONTH(交付簿[[#This Row],[交付年月日]]),DAY(交付簿[[#This Row],[交付年月日]]))</f>
        <v>1827</v>
      </c>
      <c r="BD17" s="165">
        <f>MIN(交付簿[[#This Row],[列22]],交付簿[[#This Row],[委託
（委託：２）]])</f>
        <v>1827</v>
      </c>
      <c r="BE17" s="2" t="str">
        <f t="shared" si="3"/>
        <v>千葉中央</v>
      </c>
      <c r="BF17" s="2">
        <f>VLOOKUP(交付簿[[#This Row],[警察署名]],署コード,2,FALSE)</f>
        <v>441015</v>
      </c>
      <c r="BG17" s="101"/>
      <c r="BH17" s="101"/>
    </row>
    <row r="18" spans="1:60" ht="36" customHeight="1" x14ac:dyDescent="0.45">
      <c r="A18" s="88">
        <f t="shared" si="5"/>
        <v>13</v>
      </c>
      <c r="B18" s="118"/>
      <c r="C18" s="5"/>
      <c r="D18" s="86" t="str">
        <f>交付簿[[#This Row],[自動反映
登録番号]]</f>
        <v xml:space="preserve">   </v>
      </c>
      <c r="E18" s="162">
        <f>交付簿[[#This Row],[車両使用者
氏名]]</f>
        <v>0</v>
      </c>
      <c r="F18" s="5"/>
      <c r="G18" s="180" t="str">
        <f t="shared" si="6"/>
        <v>25</v>
      </c>
      <c r="H18" s="40">
        <f>交付簿[[#This Row],[コード]]</f>
        <v>441015</v>
      </c>
      <c r="I18" s="40" t="e">
        <f>_xlfn.IFS(交付簿[[#This Row],[列27]]=1,"00",交付簿[[#This Row],[列27]]=2,"01")</f>
        <v>#N/A</v>
      </c>
      <c r="J18" s="40" t="str">
        <f>IF(交付簿[[#This Row],[列24]]=1,"1","4")</f>
        <v>4</v>
      </c>
      <c r="K18" s="41"/>
      <c r="L18" s="44"/>
      <c r="M18" s="44"/>
      <c r="N18" s="45"/>
      <c r="O18" s="101"/>
      <c r="P18" s="101"/>
      <c r="Q18" s="114"/>
      <c r="R18" s="115"/>
      <c r="S18" s="115"/>
      <c r="T18" s="116"/>
      <c r="U18" s="116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17">
        <f>交付簿[[#This Row],[列23]]</f>
        <v>1827</v>
      </c>
      <c r="AQ18" s="172"/>
      <c r="AR18" s="101"/>
      <c r="AS18" s="101"/>
      <c r="AT18" s="110"/>
      <c r="AU18" s="111"/>
      <c r="AV18" s="110"/>
      <c r="AW18" s="111"/>
      <c r="AX18" s="112"/>
      <c r="AY18" s="101"/>
      <c r="AZ18" s="185" t="e">
        <f t="shared" si="1"/>
        <v>#N/A</v>
      </c>
      <c r="BA18" s="19" t="str">
        <f t="shared" si="4"/>
        <v xml:space="preserve">   </v>
      </c>
      <c r="BB18" s="3" t="str">
        <f t="shared" si="2"/>
        <v>令和</v>
      </c>
      <c r="BC18" s="165">
        <f>DATE(YEAR(交付簿[[#This Row],[交付年月日]])+5,MONTH(交付簿[[#This Row],[交付年月日]]),DAY(交付簿[[#This Row],[交付年月日]]))</f>
        <v>1827</v>
      </c>
      <c r="BD18" s="165">
        <f>MIN(交付簿[[#This Row],[列22]],交付簿[[#This Row],[委託
（委託：２）]])</f>
        <v>1827</v>
      </c>
      <c r="BE18" s="2" t="str">
        <f t="shared" si="3"/>
        <v>千葉中央</v>
      </c>
      <c r="BF18" s="2">
        <f>VLOOKUP(交付簿[[#This Row],[警察署名]],署コード,2,FALSE)</f>
        <v>441015</v>
      </c>
      <c r="BG18" s="101"/>
      <c r="BH18" s="101"/>
    </row>
    <row r="19" spans="1:60" ht="36" customHeight="1" x14ac:dyDescent="0.45">
      <c r="A19" s="88">
        <f t="shared" si="5"/>
        <v>14</v>
      </c>
      <c r="B19" s="118"/>
      <c r="C19" s="5"/>
      <c r="D19" s="86" t="str">
        <f>交付簿[[#This Row],[自動反映
登録番号]]</f>
        <v xml:space="preserve">   </v>
      </c>
      <c r="E19" s="162">
        <f>交付簿[[#This Row],[車両使用者
氏名]]</f>
        <v>0</v>
      </c>
      <c r="F19" s="5"/>
      <c r="G19" s="180" t="str">
        <f t="shared" si="6"/>
        <v>25</v>
      </c>
      <c r="H19" s="40">
        <f>交付簿[[#This Row],[コード]]</f>
        <v>441015</v>
      </c>
      <c r="I19" s="40" t="e">
        <f>_xlfn.IFS(交付簿[[#This Row],[列27]]=1,"00",交付簿[[#This Row],[列27]]=2,"01")</f>
        <v>#N/A</v>
      </c>
      <c r="J19" s="40" t="str">
        <f>IF(交付簿[[#This Row],[列24]]=1,"1","4")</f>
        <v>4</v>
      </c>
      <c r="K19" s="41"/>
      <c r="L19" s="44"/>
      <c r="M19" s="44"/>
      <c r="N19" s="45"/>
      <c r="O19" s="101"/>
      <c r="P19" s="101"/>
      <c r="Q19" s="114"/>
      <c r="R19" s="115"/>
      <c r="S19" s="115"/>
      <c r="T19" s="116"/>
      <c r="U19" s="116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17">
        <f>交付簿[[#This Row],[列23]]</f>
        <v>1827</v>
      </c>
      <c r="AQ19" s="172"/>
      <c r="AR19" s="101"/>
      <c r="AS19" s="101"/>
      <c r="AT19" s="110"/>
      <c r="AU19" s="111"/>
      <c r="AV19" s="110"/>
      <c r="AW19" s="111"/>
      <c r="AX19" s="112"/>
      <c r="AY19" s="101"/>
      <c r="AZ19" s="185" t="e">
        <f t="shared" si="1"/>
        <v>#N/A</v>
      </c>
      <c r="BA19" s="19" t="str">
        <f t="shared" si="4"/>
        <v xml:space="preserve">   </v>
      </c>
      <c r="BB19" s="3" t="str">
        <f t="shared" si="2"/>
        <v>令和</v>
      </c>
      <c r="BC19" s="165">
        <f>DATE(YEAR(交付簿[[#This Row],[交付年月日]])+5,MONTH(交付簿[[#This Row],[交付年月日]]),DAY(交付簿[[#This Row],[交付年月日]]))</f>
        <v>1827</v>
      </c>
      <c r="BD19" s="165">
        <f>MIN(交付簿[[#This Row],[列22]],交付簿[[#This Row],[委託
（委託：２）]])</f>
        <v>1827</v>
      </c>
      <c r="BE19" s="2" t="str">
        <f t="shared" si="3"/>
        <v>千葉中央</v>
      </c>
      <c r="BF19" s="2">
        <f>VLOOKUP(交付簿[[#This Row],[警察署名]],署コード,2,FALSE)</f>
        <v>441015</v>
      </c>
      <c r="BG19" s="101"/>
      <c r="BH19" s="101"/>
    </row>
    <row r="20" spans="1:60" ht="36" customHeight="1" x14ac:dyDescent="0.45">
      <c r="A20" s="88">
        <f t="shared" si="5"/>
        <v>15</v>
      </c>
      <c r="B20" s="118"/>
      <c r="C20" s="5"/>
      <c r="D20" s="86" t="str">
        <f>交付簿[[#This Row],[自動反映
登録番号]]</f>
        <v xml:space="preserve">   </v>
      </c>
      <c r="E20" s="162">
        <f>交付簿[[#This Row],[車両使用者
氏名]]</f>
        <v>0</v>
      </c>
      <c r="F20" s="5"/>
      <c r="G20" s="180" t="str">
        <f t="shared" si="6"/>
        <v>25</v>
      </c>
      <c r="H20" s="40">
        <f>交付簿[[#This Row],[コード]]</f>
        <v>441015</v>
      </c>
      <c r="I20" s="40" t="e">
        <f>_xlfn.IFS(交付簿[[#This Row],[列27]]=1,"00",交付簿[[#This Row],[列27]]=2,"01")</f>
        <v>#N/A</v>
      </c>
      <c r="J20" s="40" t="str">
        <f>IF(交付簿[[#This Row],[列24]]=1,"1","4")</f>
        <v>4</v>
      </c>
      <c r="K20" s="41"/>
      <c r="L20" s="44"/>
      <c r="M20" s="44"/>
      <c r="N20" s="45"/>
      <c r="O20" s="101"/>
      <c r="P20" s="101"/>
      <c r="Q20" s="114"/>
      <c r="R20" s="115"/>
      <c r="S20" s="115"/>
      <c r="T20" s="116"/>
      <c r="U20" s="116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17">
        <f>交付簿[[#This Row],[列23]]</f>
        <v>1827</v>
      </c>
      <c r="AQ20" s="172"/>
      <c r="AR20" s="101"/>
      <c r="AS20" s="101"/>
      <c r="AT20" s="110"/>
      <c r="AU20" s="111"/>
      <c r="AV20" s="110"/>
      <c r="AW20" s="111"/>
      <c r="AX20" s="112"/>
      <c r="AY20" s="101"/>
      <c r="AZ20" s="185" t="e">
        <f t="shared" si="1"/>
        <v>#N/A</v>
      </c>
      <c r="BA20" s="19" t="str">
        <f t="shared" si="4"/>
        <v xml:space="preserve">   </v>
      </c>
      <c r="BB20" s="3" t="str">
        <f t="shared" si="2"/>
        <v>令和</v>
      </c>
      <c r="BC20" s="165">
        <f>DATE(YEAR(交付簿[[#This Row],[交付年月日]])+5,MONTH(交付簿[[#This Row],[交付年月日]]),DAY(交付簿[[#This Row],[交付年月日]]))</f>
        <v>1827</v>
      </c>
      <c r="BD20" s="165">
        <f>MIN(交付簿[[#This Row],[列22]],交付簿[[#This Row],[委託
（委託：２）]])</f>
        <v>1827</v>
      </c>
      <c r="BE20" s="2" t="str">
        <f t="shared" si="3"/>
        <v>千葉中央</v>
      </c>
      <c r="BF20" s="2">
        <f>VLOOKUP(交付簿[[#This Row],[警察署名]],署コード,2,FALSE)</f>
        <v>441015</v>
      </c>
      <c r="BG20" s="101"/>
      <c r="BH20" s="101"/>
    </row>
    <row r="21" spans="1:60" ht="36" customHeight="1" x14ac:dyDescent="0.45">
      <c r="A21" s="88">
        <f t="shared" si="5"/>
        <v>16</v>
      </c>
      <c r="B21" s="118"/>
      <c r="C21" s="5"/>
      <c r="D21" s="86" t="str">
        <f>交付簿[[#This Row],[自動反映
登録番号]]</f>
        <v xml:space="preserve">   </v>
      </c>
      <c r="E21" s="162">
        <f>交付簿[[#This Row],[車両使用者
氏名]]</f>
        <v>0</v>
      </c>
      <c r="F21" s="5"/>
      <c r="G21" s="180" t="str">
        <f t="shared" si="6"/>
        <v>25</v>
      </c>
      <c r="H21" s="40">
        <f>交付簿[[#This Row],[コード]]</f>
        <v>441015</v>
      </c>
      <c r="I21" s="40" t="e">
        <f>_xlfn.IFS(交付簿[[#This Row],[列27]]=1,"00",交付簿[[#This Row],[列27]]=2,"01")</f>
        <v>#N/A</v>
      </c>
      <c r="J21" s="40" t="str">
        <f>IF(交付簿[[#This Row],[列24]]=1,"1","4")</f>
        <v>4</v>
      </c>
      <c r="K21" s="41"/>
      <c r="L21" s="44"/>
      <c r="M21" s="44"/>
      <c r="N21" s="45"/>
      <c r="O21" s="101"/>
      <c r="P21" s="101"/>
      <c r="Q21" s="114"/>
      <c r="R21" s="115"/>
      <c r="S21" s="115"/>
      <c r="T21" s="116"/>
      <c r="U21" s="116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17">
        <f>交付簿[[#This Row],[列23]]</f>
        <v>1827</v>
      </c>
      <c r="AQ21" s="172"/>
      <c r="AR21" s="101"/>
      <c r="AS21" s="101"/>
      <c r="AT21" s="110"/>
      <c r="AU21" s="111"/>
      <c r="AV21" s="110"/>
      <c r="AW21" s="111"/>
      <c r="AX21" s="112"/>
      <c r="AY21" s="101"/>
      <c r="AZ21" s="185" t="e">
        <f t="shared" si="1"/>
        <v>#N/A</v>
      </c>
      <c r="BA21" s="19" t="str">
        <f t="shared" si="4"/>
        <v xml:space="preserve">   </v>
      </c>
      <c r="BB21" s="3" t="str">
        <f t="shared" si="2"/>
        <v>令和</v>
      </c>
      <c r="BC21" s="165">
        <f>DATE(YEAR(交付簿[[#This Row],[交付年月日]])+5,MONTH(交付簿[[#This Row],[交付年月日]]),DAY(交付簿[[#This Row],[交付年月日]]))</f>
        <v>1827</v>
      </c>
      <c r="BD21" s="165">
        <f>MIN(交付簿[[#This Row],[列22]],交付簿[[#This Row],[委託
（委託：２）]])</f>
        <v>1827</v>
      </c>
      <c r="BE21" s="2" t="str">
        <f t="shared" si="3"/>
        <v>千葉中央</v>
      </c>
      <c r="BF21" s="2">
        <f>VLOOKUP(交付簿[[#This Row],[警察署名]],署コード,2,FALSE)</f>
        <v>441015</v>
      </c>
      <c r="BG21" s="101"/>
      <c r="BH21" s="101"/>
    </row>
    <row r="22" spans="1:60" ht="36" customHeight="1" x14ac:dyDescent="0.45">
      <c r="A22" s="88">
        <f t="shared" si="5"/>
        <v>17</v>
      </c>
      <c r="B22" s="119"/>
      <c r="C22" s="20"/>
      <c r="D22" s="1" t="str">
        <f>交付簿[[#This Row],[自動反映
登録番号]]</f>
        <v xml:space="preserve">   </v>
      </c>
      <c r="E22" s="163">
        <f>交付簿[[#This Row],[車両使用者
氏名]]</f>
        <v>0</v>
      </c>
      <c r="F22" s="20"/>
      <c r="G22" s="180" t="str">
        <f t="shared" si="6"/>
        <v>25</v>
      </c>
      <c r="H22" s="42">
        <f>交付簿[[#This Row],[コード]]</f>
        <v>441015</v>
      </c>
      <c r="I22" s="42" t="e">
        <f>_xlfn.IFS(交付簿[[#This Row],[列27]]=1,"00",交付簿[[#This Row],[列27]]=2,"01")</f>
        <v>#N/A</v>
      </c>
      <c r="J22" s="42" t="str">
        <f>IF(交付簿[[#This Row],[列24]]=1,"1","4")</f>
        <v>4</v>
      </c>
      <c r="K22" s="43"/>
      <c r="L22" s="46"/>
      <c r="M22" s="46"/>
      <c r="N22" s="47"/>
      <c r="O22" s="120"/>
      <c r="P22" s="120"/>
      <c r="Q22" s="121"/>
      <c r="R22" s="122"/>
      <c r="S22" s="122"/>
      <c r="T22" s="123"/>
      <c r="U22" s="123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20"/>
      <c r="AJ22" s="120"/>
      <c r="AK22" s="120"/>
      <c r="AL22" s="120"/>
      <c r="AM22" s="120"/>
      <c r="AN22" s="120"/>
      <c r="AO22" s="120"/>
      <c r="AP22" s="166">
        <f>交付簿[[#This Row],[列23]]</f>
        <v>1827</v>
      </c>
      <c r="AQ22" s="173"/>
      <c r="AR22" s="120"/>
      <c r="AS22" s="120"/>
      <c r="AT22" s="124"/>
      <c r="AU22" s="111"/>
      <c r="AV22" s="124"/>
      <c r="AW22" s="111"/>
      <c r="AX22" s="125"/>
      <c r="AY22" s="120"/>
      <c r="AZ22" s="185" t="e">
        <f t="shared" si="1"/>
        <v>#N/A</v>
      </c>
      <c r="BA22" s="19" t="str">
        <f t="shared" si="4"/>
        <v xml:space="preserve">   </v>
      </c>
      <c r="BB22" s="3" t="str">
        <f t="shared" si="2"/>
        <v>令和</v>
      </c>
      <c r="BC22" s="165">
        <f>DATE(YEAR(交付簿[[#This Row],[交付年月日]])+5,MONTH(交付簿[[#This Row],[交付年月日]]),DAY(交付簿[[#This Row],[交付年月日]]))</f>
        <v>1827</v>
      </c>
      <c r="BD22" s="165">
        <f>MIN(交付簿[[#This Row],[列22]],交付簿[[#This Row],[委託
（委託：２）]])</f>
        <v>1827</v>
      </c>
      <c r="BE22" s="2" t="str">
        <f t="shared" si="3"/>
        <v>千葉中央</v>
      </c>
      <c r="BF22" s="2">
        <f>VLOOKUP(交付簿[[#This Row],[警察署名]],署コード,2,FALSE)</f>
        <v>441015</v>
      </c>
      <c r="BG22" s="101"/>
      <c r="BH22" s="101"/>
    </row>
    <row r="23" spans="1:60" ht="36" customHeight="1" x14ac:dyDescent="0.45">
      <c r="A23" s="88">
        <f t="shared" si="5"/>
        <v>18</v>
      </c>
      <c r="B23" s="119"/>
      <c r="C23" s="20"/>
      <c r="D23" s="190" t="str">
        <f>交付簿[[#This Row],[自動反映
登録番号]]</f>
        <v xml:space="preserve">   </v>
      </c>
      <c r="E23" s="163">
        <f>交付簿[[#This Row],[車両使用者
氏名]]</f>
        <v>0</v>
      </c>
      <c r="F23" s="20"/>
      <c r="G23" s="180" t="str">
        <f t="shared" si="6"/>
        <v>25</v>
      </c>
      <c r="H23" s="42">
        <f>交付簿[[#This Row],[コード]]</f>
        <v>441015</v>
      </c>
      <c r="I23" s="42" t="e">
        <f>_xlfn.IFS(交付簿[[#This Row],[列27]]=1,"00",交付簿[[#This Row],[列27]]=2,"01")</f>
        <v>#N/A</v>
      </c>
      <c r="J23" s="42" t="str">
        <f>IF(交付簿[[#This Row],[列24]]=1,"1","4")</f>
        <v>4</v>
      </c>
      <c r="K23" s="43"/>
      <c r="L23" s="46"/>
      <c r="M23" s="192"/>
      <c r="N23" s="47"/>
      <c r="O23" s="120"/>
      <c r="P23" s="120"/>
      <c r="Q23" s="121"/>
      <c r="R23" s="122"/>
      <c r="S23" s="122"/>
      <c r="T23" s="123"/>
      <c r="U23" s="123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66">
        <f>交付簿[[#This Row],[列23]]</f>
        <v>1827</v>
      </c>
      <c r="AQ23" s="173"/>
      <c r="AR23" s="120"/>
      <c r="AS23" s="120"/>
      <c r="AT23" s="124"/>
      <c r="AU23" s="143"/>
      <c r="AV23" s="124"/>
      <c r="AW23" s="143"/>
      <c r="AX23" s="125"/>
      <c r="AY23" s="120"/>
      <c r="AZ23" s="187" t="e">
        <f t="shared" si="1"/>
        <v>#N/A</v>
      </c>
      <c r="BA23" s="145" t="str">
        <f>Q23&amp;" "&amp;R23&amp;" "&amp;S23&amp;" "&amp;T23</f>
        <v xml:space="preserve">   </v>
      </c>
      <c r="BB23" s="144" t="str">
        <f t="shared" si="2"/>
        <v>令和</v>
      </c>
      <c r="BC23" s="165">
        <f>DATE(YEAR(交付簿[[#This Row],[交付年月日]])+5,MONTH(交付簿[[#This Row],[交付年月日]]),DAY(交付簿[[#This Row],[交付年月日]]))</f>
        <v>1827</v>
      </c>
      <c r="BD23" s="165">
        <f>MIN(交付簿[[#This Row],[列22]],交付簿[[#This Row],[委託
（委託：２）]])</f>
        <v>1827</v>
      </c>
      <c r="BE23" s="2" t="str">
        <f t="shared" si="3"/>
        <v>千葉中央</v>
      </c>
      <c r="BF23" s="2">
        <f>VLOOKUP(交付簿[[#This Row],[警察署名]],署コード,2,FALSE)</f>
        <v>441015</v>
      </c>
      <c r="BG23" s="101"/>
      <c r="BH23" s="101"/>
    </row>
    <row r="24" spans="1:60" ht="36" customHeight="1" x14ac:dyDescent="0.45">
      <c r="A24" s="88">
        <f t="shared" si="5"/>
        <v>19</v>
      </c>
      <c r="B24" s="118"/>
      <c r="C24" s="5"/>
      <c r="D24" s="203" t="str">
        <f>交付簿[[#This Row],[自動反映
登録番号]]</f>
        <v xml:space="preserve">   </v>
      </c>
      <c r="E24" s="204">
        <f>交付簿[[#This Row],[車両使用者
氏名]]</f>
        <v>0</v>
      </c>
      <c r="F24" s="5"/>
      <c r="G24" s="205" t="str">
        <f>RIGHT(TEXT($P$1,"y"),2)</f>
        <v>25</v>
      </c>
      <c r="H24" s="206">
        <f>交付簿[[#This Row],[コード]]</f>
        <v>441015</v>
      </c>
      <c r="I24" s="206" t="e">
        <f>_xlfn.IFS(交付簿[[#This Row],[列27]]=1,"00",交付簿[[#This Row],[列27]]=2,"01")</f>
        <v>#N/A</v>
      </c>
      <c r="J24" s="206" t="str">
        <f>IF(交付簿[[#This Row],[列24]]=1,"1","4")</f>
        <v>4</v>
      </c>
      <c r="K24" s="207"/>
      <c r="L24" s="208">
        <f>U24</f>
        <v>0</v>
      </c>
      <c r="M24" s="209">
        <f>AD24</f>
        <v>0</v>
      </c>
      <c r="N24" s="210">
        <f>AH24</f>
        <v>0</v>
      </c>
      <c r="O24" s="101"/>
      <c r="P24" s="101"/>
      <c r="Q24" s="114"/>
      <c r="R24" s="115"/>
      <c r="S24" s="115"/>
      <c r="T24" s="116"/>
      <c r="U24" s="123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17">
        <f>交付簿[[#This Row],[列23]]</f>
        <v>1827</v>
      </c>
      <c r="AQ24" s="173"/>
      <c r="AR24" s="101"/>
      <c r="AS24" s="101"/>
      <c r="AT24" s="110"/>
      <c r="AU24" s="111"/>
      <c r="AV24" s="110"/>
      <c r="AW24" s="111"/>
      <c r="AX24" s="112"/>
      <c r="AY24" s="101"/>
      <c r="AZ24" s="185" t="e">
        <f>G24&amp;" "&amp;H24&amp;" "&amp;I24&amp;" "&amp;J24&amp;" "&amp;K24</f>
        <v>#N/A</v>
      </c>
      <c r="BA24" s="19" t="str">
        <f>Q24&amp;" "&amp;R24&amp;" "&amp;S24&amp;" "&amp;T24</f>
        <v xml:space="preserve">   </v>
      </c>
      <c r="BB24" s="199" t="str">
        <f>$L$1</f>
        <v>令和</v>
      </c>
      <c r="BC24" s="165">
        <f>DATE(YEAR(交付簿[[#This Row],[交付年月日]])+5,MONTH(交付簿[[#This Row],[交付年月日]]),DAY(交付簿[[#This Row],[交付年月日]]))</f>
        <v>1827</v>
      </c>
      <c r="BD24" s="165">
        <f>MIN(交付簿[[#This Row],[列22]],交付簿[[#This Row],[委託
（委託：２）]])</f>
        <v>1827</v>
      </c>
      <c r="BE24" s="211" t="str">
        <f>$L$2</f>
        <v>千葉中央</v>
      </c>
      <c r="BF24" s="211">
        <f>VLOOKUP(交付簿[[#This Row],[警察署名]],署コード,2,FALSE)</f>
        <v>441015</v>
      </c>
      <c r="BG24" s="101"/>
      <c r="BH24" s="101"/>
    </row>
    <row r="25" spans="1:60" ht="36" customHeight="1" x14ac:dyDescent="0.45">
      <c r="A25" s="88">
        <f t="shared" si="5"/>
        <v>20</v>
      </c>
      <c r="B25" s="118"/>
      <c r="C25" s="5"/>
      <c r="D25" s="191" t="str">
        <f>交付簿[[#This Row],[自動反映
登録番号]]</f>
        <v xml:space="preserve">   </v>
      </c>
      <c r="E25" s="162">
        <f>交付簿[[#This Row],[車両使用者
氏名]]</f>
        <v>0</v>
      </c>
      <c r="F25" s="5"/>
      <c r="G25" s="180" t="str">
        <f t="shared" si="6"/>
        <v>25</v>
      </c>
      <c r="H25" s="40">
        <f>交付簿[[#This Row],[コード]]</f>
        <v>441015</v>
      </c>
      <c r="I25" s="40" t="e">
        <f>_xlfn.IFS(交付簿[[#This Row],[列27]]=1,"00",交付簿[[#This Row],[列27]]=2,"01")</f>
        <v>#N/A</v>
      </c>
      <c r="J25" s="40" t="str">
        <f>IF(交付簿[[#This Row],[列24]]=1,"1","4")</f>
        <v>4</v>
      </c>
      <c r="K25" s="41"/>
      <c r="L25" s="193"/>
      <c r="M25" s="184"/>
      <c r="N25" s="45"/>
      <c r="O25" s="101"/>
      <c r="P25" s="101"/>
      <c r="Q25" s="114"/>
      <c r="R25" s="115"/>
      <c r="S25" s="115"/>
      <c r="T25" s="116"/>
      <c r="U25" s="198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17">
        <f>交付簿[[#This Row],[列23]]</f>
        <v>1827</v>
      </c>
      <c r="AQ25" s="172"/>
      <c r="AR25" s="101"/>
      <c r="AS25" s="101"/>
      <c r="AT25" s="110"/>
      <c r="AU25" s="111"/>
      <c r="AV25" s="110"/>
      <c r="AW25" s="111"/>
      <c r="AX25" s="112"/>
      <c r="AY25" s="101"/>
      <c r="AZ25" s="185" t="e">
        <f t="shared" si="1"/>
        <v>#N/A</v>
      </c>
      <c r="BA25" s="3" t="str">
        <f>Q25&amp;" "&amp;R25&amp;" "&amp;S25&amp;" "&amp;T25</f>
        <v xml:space="preserve">   </v>
      </c>
      <c r="BB25" s="199" t="str">
        <f t="shared" si="2"/>
        <v>令和</v>
      </c>
      <c r="BC25" s="165">
        <f>DATE(YEAR(交付簿[[#This Row],[交付年月日]])+5,MONTH(交付簿[[#This Row],[交付年月日]]),DAY(交付簿[[#This Row],[交付年月日]]))</f>
        <v>1827</v>
      </c>
      <c r="BD25" s="165">
        <f>MIN(交付簿[[#This Row],[列22]],交付簿[[#This Row],[委託
（委託：２）]])</f>
        <v>1827</v>
      </c>
      <c r="BE25" s="2" t="str">
        <f t="shared" si="3"/>
        <v>千葉中央</v>
      </c>
      <c r="BF25" s="2">
        <f>VLOOKUP(交付簿[[#This Row],[警察署名]],署コード,2,FALSE)</f>
        <v>441015</v>
      </c>
      <c r="BG25" s="101"/>
      <c r="BH25" s="101"/>
    </row>
  </sheetData>
  <sheetProtection selectLockedCells="1"/>
  <dataConsolidate/>
  <mergeCells count="5">
    <mergeCell ref="L3:N3"/>
    <mergeCell ref="Q3:T3"/>
    <mergeCell ref="G3:K3"/>
    <mergeCell ref="D2:K2"/>
    <mergeCell ref="L2:M2"/>
  </mergeCells>
  <phoneticPr fontId="1"/>
  <conditionalFormatting sqref="AD6:AD25">
    <cfRule type="expression" dxfId="76" priority="20">
      <formula>$V6="ク"</formula>
    </cfRule>
  </conditionalFormatting>
  <conditionalFormatting sqref="AE6:AF24">
    <cfRule type="expression" dxfId="75" priority="18">
      <formula>$AD6=1</formula>
    </cfRule>
  </conditionalFormatting>
  <conditionalFormatting sqref="AH6:AH25">
    <cfRule type="expression" dxfId="74" priority="17">
      <formula>$V6="ケ"</formula>
    </cfRule>
  </conditionalFormatting>
  <conditionalFormatting sqref="AW6:AW25">
    <cfRule type="expression" dxfId="73" priority="15">
      <formula>$AV6="1"</formula>
    </cfRule>
  </conditionalFormatting>
  <conditionalFormatting sqref="AU6:AU25">
    <cfRule type="expression" dxfId="72" priority="13">
      <formula>$AT6="1"</formula>
    </cfRule>
  </conditionalFormatting>
  <conditionalFormatting sqref="AD5">
    <cfRule type="expression" dxfId="71" priority="8">
      <formula>$V5="ク"</formula>
    </cfRule>
  </conditionalFormatting>
  <conditionalFormatting sqref="AE5">
    <cfRule type="expression" dxfId="70" priority="7">
      <formula>$AD5=1</formula>
    </cfRule>
  </conditionalFormatting>
  <conditionalFormatting sqref="AH5">
    <cfRule type="expression" dxfId="69" priority="6">
      <formula>$V5="ケ"</formula>
    </cfRule>
  </conditionalFormatting>
  <conditionalFormatting sqref="AD5">
    <cfRule type="expression" dxfId="68" priority="5">
      <formula>$AC5="○"</formula>
    </cfRule>
  </conditionalFormatting>
  <conditionalFormatting sqref="AF5">
    <cfRule type="expression" dxfId="67" priority="4">
      <formula>$AD$5=7</formula>
    </cfRule>
  </conditionalFormatting>
  <conditionalFormatting sqref="AH5">
    <cfRule type="expression" dxfId="66" priority="3">
      <formula>$AG5="○"</formula>
    </cfRule>
  </conditionalFormatting>
  <conditionalFormatting sqref="AW5">
    <cfRule type="expression" dxfId="65" priority="2">
      <formula>$AV5="1"</formula>
    </cfRule>
  </conditionalFormatting>
  <conditionalFormatting sqref="AU5">
    <cfRule type="expression" dxfId="64" priority="1">
      <formula>$AT5="1"</formula>
    </cfRule>
  </conditionalFormatting>
  <dataValidations count="24">
    <dataValidation allowBlank="1" showInputMessage="1" prompt="県内は市町村名から記載_x000a_県外は都道府県名から記載_x000a_数字は全角_x000a_●丁目●番はハイフン" sqref="O4:O1048576" xr:uid="{F4323E93-D115-4374-AEBB-EEF473093646}"/>
    <dataValidation allowBlank="1" showInputMessage="1" prompt="表示形式は文字列_x000a_数字は全角" sqref="T4:T1048576 R4:R1048576" xr:uid="{9D9A1017-8664-49A2-B77E-77418014B47C}"/>
    <dataValidation allowBlank="1" showInputMessage="1" showErrorMessage="1" prompt="数字のみ記載_x000a_数字は半角" sqref="AE4:AE1048576" xr:uid="{A7201CB8-A76A-4373-AF81-C5B4A099C5C1}"/>
    <dataValidation allowBlank="1" showInputMessage="1" showErrorMessage="1" prompt="県内は市町村名から記載_x000a_県外は都道府県名から記載_x000a_数字は全角_x000a_●丁目●番はハイフン" sqref="AN4:AN1048576 AK4:AK1048576" xr:uid="{DBDF69CA-048D-449D-9406-D1EED50D7245}"/>
    <dataValidation type="list" allowBlank="1" showInputMessage="1" prompt="数字は半角_x000a_市外局番から記載" sqref="AO4:AO1048576 AL4:AL1048576" xr:uid="{5925424D-88C6-4DCB-9241-A19ED2DE6ACD}">
      <formula1>"( ) 番 局"</formula1>
    </dataValidation>
    <dataValidation allowBlank="1" showInputMessage="1" showErrorMessage="1" prompt="表示形式は文字列_x000a_数字は半角" sqref="G4:K1048576" xr:uid="{C04C4D68-2344-447E-8C37-B7B56CBF8E73}"/>
    <dataValidation allowBlank="1" showInputMessage="1" showErrorMessage="1" prompt="自動反映のため入力不要" sqref="D4:E1048576" xr:uid="{5138CBEE-C52C-499A-88A7-67552CAC4A2B}"/>
    <dataValidation allowBlank="1" showInputMessage="1" showErrorMessage="1" prompt="自動反映のため_x000a_入力不要" sqref="L4:N1048576" xr:uid="{124ACC2C-1BDA-4599-B560-82B15095E031}"/>
    <dataValidation type="list" allowBlank="1" showInputMessage="1" showErrorMessage="1" prompt="表示形式は数値_x000a_数字は半角_x000a_再交付した時のみ_x000a_「1」を記載" sqref="AX4:AX1048576" xr:uid="{990F7EF8-46B9-46B6-AE2F-DC298657E49B}">
      <formula1>"1"</formula1>
    </dataValidation>
    <dataValidation type="list" allowBlank="1" showInputMessage="1" showErrorMessage="1" prompt="表示形式は文字列_x000a_数字は半角_x000a_廃止した時のみ_x000a_「1」を記載" sqref="AV4:AV1048576" xr:uid="{8B37D6A0-B66B-4BA0-B281-01C89D14423D}">
      <formula1>"1"</formula1>
    </dataValidation>
    <dataValidation type="list" allowBlank="1" showInputMessage="1" showErrorMessage="1" prompt="表示形式は文字列_x000a_数字は半角_x000a_0:委託・協定等無し_x000a_1:委託・協定等による_x000a_申出" sqref="AT4:AT1048576" xr:uid="{A6EB3E97-C0BB-4E72-8352-4938DEA88B8C}">
      <formula1>"0,1"</formula1>
    </dataValidation>
    <dataValidation allowBlank="1" showInputMessage="1" prompt="表示形式は日付_x000a_和暦で表示_x000a_数字は半角" sqref="AW4:AW1048576" xr:uid="{44ADADED-9CA0-4235-831D-5C2A3841362C}"/>
    <dataValidation allowBlank="1" showInputMessage="1" showErrorMessage="1" prompt="表示形式は日付_x000a_2023/1/1_x000a_和暦で表示_x000a_数字は半角" sqref="AP4:AP1048576 C4:C1048576 F4:F1048576 AU4:AU1048576" xr:uid="{43123A74-7468-4040-A921-FBCA8DC5B4FC}"/>
    <dataValidation type="list" allowBlank="1" showInputMessage="1" showErrorMessage="1" prompt="表示形式は数値_x000a_数字は半角_x000a_1:事前の申出_x000a_2:規制（発災）後" sqref="AY5:AY1048576" xr:uid="{563B304B-BF39-4BB0-893E-31CE58E89B3E}">
      <formula1>"1,2"</formula1>
    </dataValidation>
    <dataValidation type="list" allowBlank="1" showInputMessage="1" showErrorMessage="1" sqref="V4:AC1048576 AG1:AG1048576" xr:uid="{AA48BB0D-0C0C-4259-8126-6BC645C54267}">
      <formula1>"○"</formula1>
    </dataValidation>
    <dataValidation allowBlank="1" showInputMessage="1" showErrorMessage="1" prompt="物品名を_x000a_具体的に記載" sqref="AF4:AF1048576" xr:uid="{B24DDF52-983D-4FC8-86B6-B8237F2E17D4}"/>
    <dataValidation allowBlank="1" showInputMessage="1" showErrorMessage="1" prompt="具体的_x000a_用途を記載" sqref="AH4:AH1048576" xr:uid="{C63BBD9B-BB45-488F-BD74-E031BBD420CD}"/>
    <dataValidation allowBlank="1" showInputMessage="1" showErrorMessage="1" prompt="表示形式は日付_x000a_2023/1/1_x000a_和暦で記載_x000a_数字は半角" sqref="B4:B1048576" xr:uid="{A732F5D1-B3DB-422A-8894-41D3641096E3}"/>
    <dataValidation type="list" allowBlank="1" showInputMessage="1" prompt="半角数字で入力_x000a_１　災害対策基本法_x000a_２　原子力災害対策基本法_x000a_３　国民保護法_x000a_から選択_x000a_大地震法に基づく場合は_x000a_個別に相談してください。" sqref="AQ1:AQ1048576" xr:uid="{0DBDC04F-B9ED-43D5-B6F3-A158B7959198}">
      <formula1>"1,2,3"</formula1>
    </dataValidation>
    <dataValidation allowBlank="1" showInputMessage="1" showErrorMessage="1" prompt="表示形式は数値_x000a_数字は半角_x000a_1:事前の申出_x000a_2:規制（発災）後" sqref="AY4" xr:uid="{45B6BA88-FCC3-4382-84C1-FBEC67679361}"/>
    <dataValidation type="list" allowBlank="1" showInputMessage="1" prompt="１指定行政機関_x000a_２指定公共機関_x000a_３指定地方行政機関_x000a_４指定地方公共機関_x000a_５地方公共団体" sqref="AR1:AR4 AR6:AR1048576" xr:uid="{5C48AA60-3C50-4FDA-AEA0-A43644275F61}">
      <formula1>"1,2,3,4,5"</formula1>
    </dataValidation>
    <dataValidation type="list" allowBlank="1" showInputMessage="1" showErrorMessage="1" prompt="半角数字で入力_x000a_０：無　　_x000a_１：有" sqref="BH5:BH25" xr:uid="{2E0B555F-1170-4DF2-A589-3557A785242D}">
      <formula1>"0,1"</formula1>
    </dataValidation>
    <dataValidation type="list" allowBlank="1" showInputMessage="1" showErrorMessage="1" prompt="半角数字で入力_x000a_１　窓口_x000a_２　警察行政_x000a_　　 手続きサイト_x000a_　　_x000a_　" sqref="BG5:BG25" xr:uid="{7788BD47-2788-4216-AF15-0807D9C20D26}">
      <formula1>"1,2"</formula1>
    </dataValidation>
    <dataValidation type="list" allowBlank="1" showInputMessage="1" prompt="１指定行政機関_x000a_２指定公共機関_x000a_３指定地方行政機関_x000a_４指定地方公共機関_x000a_５地方公共団体_x000a_" sqref="AR5" xr:uid="{2BB2F9A4-B3C7-484B-A0E4-1CBAAB6C68A0}">
      <formula1>"1,2,3,4,5"</formula1>
    </dataValidation>
  </dataValidations>
  <pageMargins left="0.98425196850393704" right="0.39370078740157483" top="0.78740157480314965" bottom="0.39370078740157483" header="0" footer="0"/>
  <pageSetup paperSize="9" fitToHeight="0" orientation="portrait" r:id="rId1"/>
  <headerFooter scaleWithDoc="0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="車検証の「使用の本拠」が_x000a_千葉県内のみ、千葉県で_x000a_申出可能。_x000a_リスト以外のナンバーは_x000a_千葉での申出対象外" xr:uid="{44351416-6B3F-4154-96CE-E3C79B7E20BC}">
          <x14:formula1>
            <xm:f>リスト!$B$28:$B$37</xm:f>
          </x14:formula1>
          <xm:sqref>Q4:Q1048576</xm:sqref>
        </x14:dataValidation>
        <x14:dataValidation type="list" allowBlank="1" showInputMessage="1" showErrorMessage="1" prompt="コードの数字を記入_x000a_コードはリスト参照_x000a_１人員　２飲料食料_x000a_３建築資材　４衣料寝具_x000a_５日用雑貨　６医療品_x000a_７その他" xr:uid="{6AE7AA5F-1166-4CD6-A745-61830D72511B}">
          <x14:formula1>
            <xm:f>リスト!$B$16:$B$22</xm:f>
          </x14:formula1>
          <xm:sqref>AD4:AD1048576</xm:sqref>
        </x14:dataValidation>
        <x14:dataValidation type="list" allowBlank="1" showInputMessage="1" showErrorMessage="1" prompt="主たる用務の_x000a_コードを選択_x000a_コードはア～ケ_x000a_詳細はリストのシート_x000a_を確認" xr:uid="{A054948C-7B4D-49E9-8E7F-9253924ABEC9}">
          <x14:formula1>
            <xm:f>リスト!$B$3:$B$11</xm:f>
          </x14:formula1>
          <xm:sqref>U1:U1048576</xm:sqref>
        </x14:dataValidation>
        <x14:dataValidation type="list" allowBlank="1" showInputMessage="1" showErrorMessage="1" xr:uid="{281DF701-13CA-45A9-887D-85B842DED27C}">
          <x14:formula1>
            <xm:f>リスト!$L$4:$L$43</xm:f>
          </x14:formula1>
          <xm:sqref>L2:M2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51EE-D004-43AD-8116-AD85C07951E5}">
  <sheetPr>
    <tabColor rgb="FF00B0F0"/>
    <pageSetUpPr fitToPage="1"/>
  </sheetPr>
  <dimension ref="A1:BF52"/>
  <sheetViews>
    <sheetView view="pageBreakPreview" zoomScaleNormal="100" zoomScaleSheetLayoutView="100" workbookViewId="0">
      <selection activeCell="AL7" sqref="AL7"/>
    </sheetView>
  </sheetViews>
  <sheetFormatPr defaultColWidth="3.19921875" defaultRowHeight="18.45" customHeight="1" x14ac:dyDescent="0.45"/>
  <cols>
    <col min="1" max="33" width="3.19921875" style="51"/>
    <col min="34" max="39" width="3.19921875" style="66"/>
    <col min="40" max="16384" width="3.19921875" style="51"/>
  </cols>
  <sheetData>
    <row r="1" spans="1:58" s="2" customFormat="1" ht="36" customHeight="1" x14ac:dyDescent="0.45">
      <c r="A1" s="90" t="s">
        <v>122</v>
      </c>
      <c r="B1" s="100" t="s">
        <v>95</v>
      </c>
      <c r="C1" s="9" t="s">
        <v>0</v>
      </c>
      <c r="D1" s="3" t="s">
        <v>85</v>
      </c>
      <c r="E1" s="10" t="s">
        <v>2</v>
      </c>
      <c r="F1" s="14" t="s">
        <v>3</v>
      </c>
      <c r="G1" s="220" t="s">
        <v>5</v>
      </c>
      <c r="H1" s="221"/>
      <c r="I1" s="221"/>
      <c r="J1" s="221"/>
      <c r="K1" s="222"/>
      <c r="L1" s="214" t="s">
        <v>78</v>
      </c>
      <c r="M1" s="215"/>
      <c r="N1" s="216"/>
      <c r="O1" s="101" t="s">
        <v>80</v>
      </c>
      <c r="P1" s="101" t="s">
        <v>81</v>
      </c>
      <c r="Q1" s="217" t="s">
        <v>1</v>
      </c>
      <c r="R1" s="218"/>
      <c r="S1" s="218"/>
      <c r="T1" s="219"/>
      <c r="U1" s="179" t="s">
        <v>155</v>
      </c>
      <c r="V1" s="146" t="s">
        <v>141</v>
      </c>
      <c r="W1" s="146" t="s">
        <v>140</v>
      </c>
      <c r="X1" s="146" t="s">
        <v>142</v>
      </c>
      <c r="Y1" s="146" t="s">
        <v>143</v>
      </c>
      <c r="Z1" s="146" t="s">
        <v>144</v>
      </c>
      <c r="AA1" s="146" t="s">
        <v>145</v>
      </c>
      <c r="AB1" s="146" t="s">
        <v>147</v>
      </c>
      <c r="AC1" s="146" t="s">
        <v>148</v>
      </c>
      <c r="AD1" s="101" t="s">
        <v>114</v>
      </c>
      <c r="AE1" s="101" t="s">
        <v>121</v>
      </c>
      <c r="AF1" s="101" t="s">
        <v>152</v>
      </c>
      <c r="AG1" s="101" t="s">
        <v>149</v>
      </c>
      <c r="AH1" s="101" t="s">
        <v>115</v>
      </c>
      <c r="AI1" s="101" t="s">
        <v>13</v>
      </c>
      <c r="AJ1" s="101" t="s">
        <v>88</v>
      </c>
      <c r="AK1" s="101" t="s">
        <v>12</v>
      </c>
      <c r="AL1" s="101" t="s">
        <v>89</v>
      </c>
      <c r="AM1" s="101" t="s">
        <v>91</v>
      </c>
      <c r="AN1" s="101" t="s">
        <v>92</v>
      </c>
      <c r="AO1" s="101" t="s">
        <v>93</v>
      </c>
      <c r="AP1" s="101" t="s">
        <v>10</v>
      </c>
      <c r="AQ1" s="172" t="s">
        <v>178</v>
      </c>
      <c r="AR1" s="101" t="s">
        <v>14</v>
      </c>
      <c r="AS1" s="101" t="s">
        <v>62</v>
      </c>
      <c r="AT1" s="102" t="s">
        <v>15</v>
      </c>
      <c r="AU1" s="103" t="s">
        <v>132</v>
      </c>
      <c r="AV1" s="102" t="s">
        <v>16</v>
      </c>
      <c r="AW1" s="103" t="s">
        <v>130</v>
      </c>
      <c r="AX1" s="104" t="s">
        <v>77</v>
      </c>
      <c r="AY1" s="105" t="s">
        <v>116</v>
      </c>
      <c r="AZ1" s="3" t="s">
        <v>17</v>
      </c>
      <c r="BA1" s="19" t="s">
        <v>97</v>
      </c>
      <c r="BB1" s="3" t="s">
        <v>119</v>
      </c>
      <c r="BC1" s="2" t="s">
        <v>167</v>
      </c>
      <c r="BD1" s="165" t="s">
        <v>169</v>
      </c>
      <c r="BE1" s="2" t="s">
        <v>183</v>
      </c>
      <c r="BF1" s="2" t="s">
        <v>230</v>
      </c>
    </row>
    <row r="2" spans="1:58" s="4" customFormat="1" ht="36" customHeight="1" x14ac:dyDescent="0.45">
      <c r="A2" s="88" t="s">
        <v>245</v>
      </c>
      <c r="B2" s="20">
        <f>VLOOKUP($A$2,交付簿[],2,FALSE)</f>
        <v>45672</v>
      </c>
      <c r="C2" s="32">
        <f>VLOOKUP($A$2,交付簿[],3,FALSE)</f>
        <v>45672</v>
      </c>
      <c r="D2" s="26" t="str">
        <f>VLOOKUP($A$2,交付簿[],4,FALSE)</f>
        <v>千葉 ５００ あ １２４３</v>
      </c>
      <c r="E2" s="26" t="str">
        <f>VLOOKUP($A$2,交付簿[],5,FALSE)</f>
        <v>千葉県●●課</v>
      </c>
      <c r="F2" s="32">
        <f>VLOOKUP($A$2,交付簿[],6,FALSE)</f>
        <v>45689</v>
      </c>
      <c r="G2" s="37" t="str">
        <f>VLOOKUP($A$2,交付簿[],7,FALSE)</f>
        <v>25</v>
      </c>
      <c r="H2" s="38">
        <f>VLOOKUP($A$2,交付簿[],8,FALSE)</f>
        <v>441015</v>
      </c>
      <c r="I2" s="39" t="str">
        <f>VLOOKUP($A$2,交付簿[],9,FALSE)</f>
        <v>00</v>
      </c>
      <c r="J2" s="39" t="str">
        <f>VLOOKUP($A$2,交付簿[],10,FALSE)</f>
        <v>1</v>
      </c>
      <c r="K2" s="39" t="str">
        <f>VLOOKUP($A$2,交付簿[],11,FALSE)</f>
        <v>00001</v>
      </c>
      <c r="L2" s="28" t="str">
        <f>VLOOKUP($A$2,交付簿[],12,FALSE)</f>
        <v>オ</v>
      </c>
      <c r="M2" s="27">
        <f>VLOOKUP($A$2,交付簿[],13,FALSE)</f>
        <v>0</v>
      </c>
      <c r="N2" s="131">
        <f>VLOOKUP($A$2,交付簿[],14,FALSE)</f>
        <v>0</v>
      </c>
      <c r="O2" s="29" t="str">
        <f>VLOOKUP($A$2,交付簿[],15,FALSE)</f>
        <v>千葉市中央区市場１－１</v>
      </c>
      <c r="P2" s="29" t="str">
        <f>VLOOKUP($A$2,交付簿[],16,FALSE)</f>
        <v>千葉県知事</v>
      </c>
      <c r="Q2" s="30" t="str">
        <f>VLOOKUP($A$2,交付簿[],17,FALSE)</f>
        <v>千葉</v>
      </c>
      <c r="R2" s="30" t="str">
        <f>VLOOKUP($A$2,交付簿[],18,FALSE)</f>
        <v>５００</v>
      </c>
      <c r="S2" s="30" t="str">
        <f>VLOOKUP($A$2,交付簿[],19,FALSE)</f>
        <v>あ</v>
      </c>
      <c r="T2" s="30" t="str">
        <f>VLOOKUP($A$2,交付簿[],20,FALSE)</f>
        <v>１２４３</v>
      </c>
      <c r="U2" s="30" t="str">
        <f>VLOOKUP($A$2,交付簿[],21,FALSE)</f>
        <v>オ</v>
      </c>
      <c r="V2" s="30">
        <f>VLOOKUP($A$2,交付簿[],22,FALSE)</f>
        <v>0</v>
      </c>
      <c r="W2" s="30">
        <f>VLOOKUP($A$2,交付簿[],23,FALSE)</f>
        <v>0</v>
      </c>
      <c r="X2" s="30">
        <f>VLOOKUP($A$2,交付簿[],24,FALSE)</f>
        <v>0</v>
      </c>
      <c r="Y2" s="30">
        <f>VLOOKUP($A$2,交付簿[],25,FALSE)</f>
        <v>0</v>
      </c>
      <c r="Z2" s="31" t="str">
        <f>VLOOKUP($A$2,交付簿[],26,FALSE)</f>
        <v>○</v>
      </c>
      <c r="AA2" s="30">
        <f>VLOOKUP($A$2,交付簿[],27,FALSE)</f>
        <v>0</v>
      </c>
      <c r="AB2" s="30">
        <f>VLOOKUP($A$2,交付簿[],28,FALSE)</f>
        <v>0</v>
      </c>
      <c r="AC2" s="30">
        <f>VLOOKUP($A$2,交付簿[],29,FALSE)</f>
        <v>0</v>
      </c>
      <c r="AD2" s="30">
        <f>VLOOKUP($A$2,交付簿[],30,FALSE)</f>
        <v>0</v>
      </c>
      <c r="AE2" s="30">
        <f>VLOOKUP($A$2,交付簿[],31,FALSE)</f>
        <v>0</v>
      </c>
      <c r="AF2" s="31">
        <f>VLOOKUP($A$2,交付簿[],32,FALSE)</f>
        <v>0</v>
      </c>
      <c r="AG2" s="30">
        <f>VLOOKUP($A$2,交付簿[],33,FALSE)</f>
        <v>0</v>
      </c>
      <c r="AH2" s="30">
        <f>VLOOKUP($A$2,交付簿[],34,FALSE)</f>
        <v>0</v>
      </c>
      <c r="AI2" s="147" t="str">
        <f>VLOOKUP($A$2,交付簿[],35,FALSE)</f>
        <v>千葉県、茨城県</v>
      </c>
      <c r="AJ2" s="31" t="str">
        <f>VLOOKUP($A$2,交付簿[],36,FALSE)</f>
        <v>千葉県●●課</v>
      </c>
      <c r="AK2" s="147" t="str">
        <f>VLOOKUP($A$2,交付簿[],37,FALSE)</f>
        <v>千葉市中央区市場町１－１</v>
      </c>
      <c r="AL2" s="31" t="str">
        <f>VLOOKUP($A$2,交付簿[],38,FALSE)</f>
        <v>(043)223局0000番</v>
      </c>
      <c r="AM2" s="149" t="str">
        <f>VLOOKUP($A$2,交付簿[],39,FALSE)</f>
        <v>千葉県●●課</v>
      </c>
      <c r="AN2" s="149" t="str">
        <f>VLOOKUP($A$2,交付簿[],40,FALSE)</f>
        <v>千葉市中央区市場町１－１</v>
      </c>
      <c r="AO2" s="30" t="str">
        <f>VLOOKUP($A$2,交付簿[],41,FALSE)</f>
        <v>(043)223番0000局</v>
      </c>
      <c r="AP2" s="31">
        <f>VLOOKUP($A$2,交付簿[],42,FALSE)</f>
        <v>47515</v>
      </c>
      <c r="AQ2" s="30">
        <f>VLOOKUP($A$2,交付簿[],43,FALSE)</f>
        <v>1</v>
      </c>
      <c r="AR2" s="30">
        <f>VLOOKUP($A$2,交付簿[],44,FALSE)</f>
        <v>5</v>
      </c>
      <c r="AS2" s="30" t="str">
        <f>VLOOKUP($A$2,交付簿[],45,FALSE)</f>
        <v>千葉県</v>
      </c>
      <c r="AT2" s="30">
        <f>VLOOKUP($A$2,交付簿[],46,FALSE)-0</f>
        <v>0</v>
      </c>
      <c r="AU2" s="31">
        <f>VLOOKUP($A$2,交付簿[],47,FALSE)</f>
        <v>0</v>
      </c>
      <c r="AV2" s="30">
        <f>VLOOKUP($A$2,交付簿[],48,FALSE)</f>
        <v>0</v>
      </c>
      <c r="AW2" s="31">
        <f>VLOOKUP($A$2,交付簿[],49,FALSE)</f>
        <v>0</v>
      </c>
      <c r="AX2" s="30">
        <f>VLOOKUP($A$2,交付簿[],50,FALSE)</f>
        <v>0</v>
      </c>
      <c r="AY2" s="30">
        <f>VLOOKUP($A$2,交付簿[],51,FALSE)</f>
        <v>1</v>
      </c>
      <c r="AZ2" s="30" t="str">
        <f>VLOOKUP($A$2,交付簿[],52,FALSE)</f>
        <v>25 441015 00 1 00001</v>
      </c>
      <c r="BA2" s="30" t="str">
        <f>VLOOKUP($A$2,交付簿[],53,FALSE)</f>
        <v>千葉 ５００ あ １２４３</v>
      </c>
      <c r="BB2" s="30" t="str">
        <f>VLOOKUP($A$2,交付簿[],54,FALSE)</f>
        <v>令和</v>
      </c>
      <c r="BC2" s="31">
        <f>VLOOKUP($A$2,交付簿[],55,FALSE)</f>
        <v>47515</v>
      </c>
      <c r="BD2" s="31">
        <f>VLOOKUP($A$2,交付簿[],56,FALSE)</f>
        <v>47515</v>
      </c>
      <c r="BE2" s="30" t="str">
        <f>VLOOKUP($A$2,交付簿[],57,FALSE)</f>
        <v>千葉中央</v>
      </c>
      <c r="BF2" s="30">
        <f>VLOOKUP($A$2,交付簿[],58,FALSE)</f>
        <v>441015</v>
      </c>
    </row>
    <row r="3" spans="1:58" ht="18.45" customHeight="1" x14ac:dyDescent="0.45">
      <c r="B3" s="51" t="s">
        <v>100</v>
      </c>
      <c r="AH3" s="52"/>
      <c r="AI3" s="52"/>
      <c r="AJ3" s="52"/>
      <c r="AK3" s="52"/>
      <c r="AL3" s="52"/>
      <c r="AM3" s="148"/>
      <c r="AN3" s="53"/>
    </row>
    <row r="4" spans="1:58" ht="18.45" customHeight="1" x14ac:dyDescent="0.45">
      <c r="B4" s="54"/>
      <c r="C4" s="55"/>
      <c r="D4" s="55"/>
      <c r="E4" s="55"/>
      <c r="F4" s="55"/>
      <c r="G4" s="55"/>
      <c r="H4" s="55"/>
      <c r="I4" s="55"/>
      <c r="J4" s="140"/>
      <c r="K4" s="140"/>
      <c r="L4" s="55"/>
      <c r="M4" s="55"/>
      <c r="N4" s="55"/>
      <c r="O4" s="55"/>
      <c r="P4" s="55"/>
      <c r="Q4" s="55"/>
      <c r="R4" s="55"/>
      <c r="S4" s="55"/>
      <c r="T4" s="55"/>
      <c r="U4" s="87"/>
      <c r="V4" s="87"/>
      <c r="W4" s="57"/>
      <c r="X4" s="57"/>
      <c r="Y4" s="57"/>
      <c r="Z4" s="57"/>
      <c r="AA4" s="57"/>
      <c r="AB4" s="57"/>
      <c r="AC4" s="57"/>
      <c r="AD4" s="57"/>
      <c r="AE4" s="58"/>
      <c r="AH4" s="59"/>
      <c r="AI4" s="53"/>
      <c r="AJ4" s="53"/>
      <c r="AK4" s="53"/>
      <c r="AL4" s="53"/>
      <c r="AM4" s="53"/>
      <c r="AN4" s="53"/>
    </row>
    <row r="5" spans="1:58" ht="18.45" customHeight="1" x14ac:dyDescent="0.45">
      <c r="B5" s="60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228" t="str">
        <f>BB2</f>
        <v>令和</v>
      </c>
      <c r="U5" s="228"/>
      <c r="V5" s="291">
        <f>B2</f>
        <v>45672</v>
      </c>
      <c r="W5" s="291"/>
      <c r="X5" s="53" t="s">
        <v>43</v>
      </c>
      <c r="Y5" s="244">
        <f>B2</f>
        <v>45672</v>
      </c>
      <c r="Z5" s="244"/>
      <c r="AA5" s="53" t="s">
        <v>42</v>
      </c>
      <c r="AB5" s="245">
        <f>B2</f>
        <v>45672</v>
      </c>
      <c r="AC5" s="245"/>
      <c r="AD5" s="53" t="s">
        <v>41</v>
      </c>
      <c r="AE5" s="61"/>
      <c r="AH5" s="51"/>
      <c r="AI5" s="51"/>
      <c r="AJ5" s="51"/>
      <c r="AK5" s="51"/>
      <c r="AL5" s="51"/>
      <c r="AM5" s="51"/>
    </row>
    <row r="6" spans="1:58" ht="18.45" customHeight="1" x14ac:dyDescent="0.45">
      <c r="B6" s="62"/>
      <c r="C6" s="63" t="s">
        <v>125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4"/>
      <c r="AH6" s="59"/>
      <c r="AI6" s="53"/>
      <c r="AJ6" s="53"/>
      <c r="AK6" s="53"/>
      <c r="AL6" s="53"/>
      <c r="AM6" s="53"/>
      <c r="AN6" s="53"/>
    </row>
    <row r="7" spans="1:58" ht="18.45" customHeight="1" x14ac:dyDescent="0.45">
      <c r="B7" s="246" t="s">
        <v>101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  <c r="AC7" s="247"/>
      <c r="AD7" s="247"/>
      <c r="AE7" s="248"/>
      <c r="AH7" s="59"/>
      <c r="AI7" s="53"/>
      <c r="AJ7" s="53"/>
      <c r="AK7" s="53"/>
      <c r="AL7" s="53"/>
      <c r="AM7" s="53"/>
    </row>
    <row r="8" spans="1:58" ht="18.45" customHeight="1" x14ac:dyDescent="0.45">
      <c r="B8" s="65"/>
      <c r="C8" s="59"/>
      <c r="D8" s="59"/>
      <c r="E8" s="66"/>
      <c r="F8" s="66"/>
      <c r="G8" s="66"/>
      <c r="H8" s="66"/>
      <c r="I8" s="66"/>
      <c r="J8" s="138"/>
      <c r="K8" s="138"/>
      <c r="L8" s="66"/>
      <c r="M8" s="66"/>
      <c r="N8" s="66"/>
      <c r="O8" s="66"/>
      <c r="P8" s="66"/>
      <c r="Q8" s="66"/>
      <c r="R8" s="66"/>
      <c r="S8" s="63"/>
      <c r="T8" s="63"/>
      <c r="V8" s="63"/>
      <c r="X8" s="63"/>
      <c r="Y8" s="63"/>
      <c r="Z8" s="63"/>
      <c r="AA8" s="63"/>
      <c r="AB8" s="63"/>
      <c r="AC8" s="63"/>
      <c r="AD8" s="66"/>
      <c r="AE8" s="67"/>
      <c r="AH8" s="59"/>
      <c r="AI8" s="53"/>
      <c r="AJ8" s="53"/>
      <c r="AK8" s="53"/>
      <c r="AL8" s="53"/>
      <c r="AM8" s="53"/>
    </row>
    <row r="9" spans="1:58" ht="18.45" customHeight="1" x14ac:dyDescent="0.45">
      <c r="B9" s="65"/>
      <c r="C9" s="59"/>
      <c r="D9" s="59"/>
      <c r="E9" s="66"/>
      <c r="F9" s="66"/>
      <c r="G9" s="66"/>
      <c r="H9" s="66"/>
      <c r="I9" s="66"/>
      <c r="J9" s="138"/>
      <c r="K9" s="138"/>
      <c r="L9" s="66"/>
      <c r="M9" s="66"/>
      <c r="N9" s="63" t="s">
        <v>102</v>
      </c>
      <c r="P9" s="66"/>
      <c r="R9" s="63" t="s">
        <v>117</v>
      </c>
      <c r="S9" s="63"/>
      <c r="U9" s="225" t="str">
        <f>O2</f>
        <v>千葉市中央区市場１－１</v>
      </c>
      <c r="V9" s="225"/>
      <c r="W9" s="225"/>
      <c r="X9" s="225"/>
      <c r="Y9" s="225"/>
      <c r="Z9" s="225"/>
      <c r="AA9" s="225"/>
      <c r="AB9" s="225"/>
      <c r="AC9" s="225"/>
      <c r="AD9" s="225"/>
      <c r="AE9" s="226"/>
      <c r="AH9" s="59"/>
      <c r="AI9" s="53"/>
      <c r="AJ9" s="53"/>
      <c r="AK9" s="53"/>
      <c r="AL9" s="53"/>
      <c r="AM9" s="53"/>
    </row>
    <row r="10" spans="1:58" ht="18.45" customHeight="1" x14ac:dyDescent="0.45">
      <c r="B10" s="65"/>
      <c r="C10" s="59"/>
      <c r="D10" s="59"/>
      <c r="E10" s="66"/>
      <c r="F10" s="66"/>
      <c r="G10" s="66"/>
      <c r="H10" s="66"/>
      <c r="I10" s="66"/>
      <c r="J10" s="138"/>
      <c r="K10" s="138"/>
      <c r="L10" s="66"/>
      <c r="M10" s="66"/>
      <c r="N10" s="66"/>
      <c r="O10" s="66"/>
      <c r="P10" s="66"/>
      <c r="Q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6"/>
      <c r="AE10" s="67"/>
      <c r="AH10" s="59"/>
      <c r="AI10" s="53"/>
      <c r="AJ10" s="53"/>
      <c r="AK10" s="53"/>
      <c r="AL10" s="53"/>
      <c r="AM10" s="53"/>
    </row>
    <row r="11" spans="1:58" ht="18.45" customHeight="1" x14ac:dyDescent="0.45">
      <c r="B11" s="60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 t="s">
        <v>118</v>
      </c>
      <c r="S11" s="68"/>
      <c r="T11" s="68"/>
      <c r="U11" s="227" t="str">
        <f>P2</f>
        <v>千葉県知事</v>
      </c>
      <c r="V11" s="227"/>
      <c r="W11" s="227"/>
      <c r="X11" s="227"/>
      <c r="Y11" s="227"/>
      <c r="Z11" s="227"/>
      <c r="AA11" s="227"/>
      <c r="AB11" s="227"/>
      <c r="AC11" s="227"/>
      <c r="AD11" s="227"/>
      <c r="AE11" s="226"/>
      <c r="AH11" s="59"/>
      <c r="AI11" s="53"/>
      <c r="AJ11" s="53"/>
      <c r="AK11" s="53"/>
      <c r="AL11" s="53"/>
      <c r="AM11" s="53"/>
    </row>
    <row r="12" spans="1:58" ht="18.45" customHeight="1" x14ac:dyDescent="0.45">
      <c r="B12" s="60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53"/>
      <c r="AE12" s="61"/>
      <c r="AH12" s="59"/>
      <c r="AI12" s="53"/>
      <c r="AJ12" s="53"/>
      <c r="AK12" s="53"/>
      <c r="AL12" s="53"/>
      <c r="AM12" s="53"/>
    </row>
    <row r="13" spans="1:58" ht="18.45" customHeight="1" x14ac:dyDescent="0.45">
      <c r="B13" s="252" t="s">
        <v>40</v>
      </c>
      <c r="C13" s="253"/>
      <c r="D13" s="253"/>
      <c r="E13" s="254"/>
      <c r="F13" s="254"/>
      <c r="G13" s="255"/>
      <c r="H13" s="57"/>
      <c r="I13" s="269" t="str">
        <f>BA2</f>
        <v>千葉 ５００ あ １２４３</v>
      </c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58"/>
      <c r="AH13" s="59"/>
      <c r="AI13" s="53"/>
      <c r="AJ13" s="53"/>
      <c r="AK13" s="53"/>
      <c r="AL13" s="53"/>
      <c r="AM13" s="53"/>
    </row>
    <row r="14" spans="1:58" ht="18.45" customHeight="1" x14ac:dyDescent="0.45">
      <c r="B14" s="261"/>
      <c r="C14" s="262"/>
      <c r="D14" s="262"/>
      <c r="E14" s="262"/>
      <c r="F14" s="262"/>
      <c r="G14" s="263"/>
      <c r="H14" s="69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70"/>
      <c r="AI14" s="139"/>
      <c r="AJ14" s="139"/>
      <c r="AK14" s="139"/>
      <c r="AL14" s="139"/>
      <c r="AM14" s="139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8" ht="18.45" customHeight="1" x14ac:dyDescent="0.45">
      <c r="B15" s="252" t="s">
        <v>39</v>
      </c>
      <c r="C15" s="253"/>
      <c r="D15" s="253"/>
      <c r="E15" s="254"/>
      <c r="F15" s="254"/>
      <c r="G15" s="255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8"/>
      <c r="AH15" s="51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53"/>
      <c r="BD15" s="53"/>
      <c r="BE15" s="53"/>
    </row>
    <row r="16" spans="1:58" ht="18.45" customHeight="1" x14ac:dyDescent="0.45">
      <c r="B16" s="256"/>
      <c r="C16" s="257"/>
      <c r="D16" s="257"/>
      <c r="E16" s="258"/>
      <c r="F16" s="258"/>
      <c r="G16" s="259"/>
      <c r="H16" s="53"/>
      <c r="I16" s="201">
        <f>V2</f>
        <v>0</v>
      </c>
      <c r="J16" s="136" t="s">
        <v>126</v>
      </c>
      <c r="K16" s="133" t="s">
        <v>37</v>
      </c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61"/>
      <c r="AH16" s="51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2:57" ht="18.45" customHeight="1" x14ac:dyDescent="0.45">
      <c r="B17" s="260"/>
      <c r="C17" s="258"/>
      <c r="D17" s="258"/>
      <c r="E17" s="258"/>
      <c r="F17" s="258"/>
      <c r="G17" s="259"/>
      <c r="H17" s="53"/>
      <c r="I17" s="201">
        <f>W2</f>
        <v>0</v>
      </c>
      <c r="J17" s="136" t="s">
        <v>52</v>
      </c>
      <c r="K17" s="133" t="s">
        <v>36</v>
      </c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61"/>
      <c r="AH17" s="51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2:57" ht="18.45" customHeight="1" x14ac:dyDescent="0.45">
      <c r="B18" s="260"/>
      <c r="C18" s="258"/>
      <c r="D18" s="258"/>
      <c r="E18" s="258"/>
      <c r="F18" s="258"/>
      <c r="G18" s="259"/>
      <c r="H18" s="53"/>
      <c r="I18" s="201">
        <f>X2</f>
        <v>0</v>
      </c>
      <c r="J18" s="136" t="s">
        <v>51</v>
      </c>
      <c r="K18" s="133" t="s">
        <v>35</v>
      </c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61"/>
      <c r="AH18" s="51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2:57" ht="18.45" customHeight="1" x14ac:dyDescent="0.45">
      <c r="B19" s="260"/>
      <c r="C19" s="258"/>
      <c r="D19" s="258"/>
      <c r="E19" s="258"/>
      <c r="F19" s="258"/>
      <c r="G19" s="259"/>
      <c r="I19" s="201">
        <f>Y2</f>
        <v>0</v>
      </c>
      <c r="J19" s="136" t="s">
        <v>50</v>
      </c>
      <c r="K19" s="135" t="s">
        <v>34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41"/>
      <c r="AD19" s="141"/>
      <c r="AE19" s="155"/>
      <c r="AH19" s="51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2:57" ht="18.45" customHeight="1" x14ac:dyDescent="0.45">
      <c r="B20" s="260"/>
      <c r="C20" s="258"/>
      <c r="D20" s="258"/>
      <c r="E20" s="258"/>
      <c r="F20" s="258"/>
      <c r="G20" s="259"/>
      <c r="H20" s="53"/>
      <c r="I20" s="201" t="str">
        <f>Z2</f>
        <v>○</v>
      </c>
      <c r="J20" s="136" t="s">
        <v>49</v>
      </c>
      <c r="K20" s="135" t="s">
        <v>33</v>
      </c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64"/>
      <c r="AH20" s="51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2:57" ht="18.45" customHeight="1" x14ac:dyDescent="0.45">
      <c r="B21" s="260"/>
      <c r="C21" s="258"/>
      <c r="D21" s="258"/>
      <c r="E21" s="258"/>
      <c r="F21" s="258"/>
      <c r="G21" s="259"/>
      <c r="H21" s="53"/>
      <c r="I21" s="201">
        <f>AA2</f>
        <v>0</v>
      </c>
      <c r="J21" s="136" t="s">
        <v>48</v>
      </c>
      <c r="K21" s="133" t="s">
        <v>234</v>
      </c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61"/>
      <c r="AH21" s="51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2:57" ht="18.45" customHeight="1" x14ac:dyDescent="0.45">
      <c r="B22" s="260"/>
      <c r="C22" s="258"/>
      <c r="D22" s="258"/>
      <c r="E22" s="258"/>
      <c r="F22" s="258"/>
      <c r="G22" s="259"/>
      <c r="H22" s="53"/>
      <c r="I22" s="201">
        <f>AB2</f>
        <v>0</v>
      </c>
      <c r="J22" s="136" t="s">
        <v>47</v>
      </c>
      <c r="K22" s="133" t="s">
        <v>31</v>
      </c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61"/>
      <c r="AH22" s="51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2:57" ht="18.45" customHeight="1" thickBot="1" x14ac:dyDescent="0.5">
      <c r="B23" s="260"/>
      <c r="C23" s="258"/>
      <c r="D23" s="258"/>
      <c r="E23" s="258"/>
      <c r="F23" s="258"/>
      <c r="G23" s="259"/>
      <c r="H23" s="53"/>
      <c r="I23" s="201">
        <f>AC2</f>
        <v>0</v>
      </c>
      <c r="J23" s="136" t="s">
        <v>46</v>
      </c>
      <c r="K23" s="133" t="s">
        <v>45</v>
      </c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61"/>
      <c r="AH23" s="51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2:57" ht="18.45" customHeight="1" thickBot="1" x14ac:dyDescent="0.5">
      <c r="B24" s="260"/>
      <c r="C24" s="258"/>
      <c r="D24" s="258"/>
      <c r="E24" s="258"/>
      <c r="F24" s="258"/>
      <c r="G24" s="259"/>
      <c r="H24" s="53"/>
      <c r="I24" s="139"/>
      <c r="K24" s="202">
        <f>AD2</f>
        <v>0</v>
      </c>
      <c r="L24" s="133">
        <v>1</v>
      </c>
      <c r="M24" s="133" t="s">
        <v>158</v>
      </c>
      <c r="N24" s="133"/>
      <c r="O24" s="133"/>
      <c r="P24" s="286" t="str">
        <f>IF(AE2=0,"",AE2)</f>
        <v/>
      </c>
      <c r="Q24" s="286"/>
      <c r="R24" s="286"/>
      <c r="S24" s="133" t="s">
        <v>159</v>
      </c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61"/>
      <c r="AH24" s="51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2:57" ht="18.45" customHeight="1" x14ac:dyDescent="0.45">
      <c r="B25" s="260"/>
      <c r="C25" s="258"/>
      <c r="D25" s="258"/>
      <c r="E25" s="258"/>
      <c r="F25" s="258"/>
      <c r="G25" s="259"/>
      <c r="H25" s="53"/>
      <c r="I25" s="53"/>
      <c r="J25" s="53"/>
      <c r="K25" s="133"/>
      <c r="L25" s="133">
        <v>2</v>
      </c>
      <c r="M25" s="133" t="s">
        <v>30</v>
      </c>
      <c r="N25" s="133"/>
      <c r="O25" s="133"/>
      <c r="P25" s="133"/>
      <c r="Q25" s="133"/>
      <c r="R25" s="133"/>
      <c r="S25" s="133">
        <v>3</v>
      </c>
      <c r="T25" s="133" t="s">
        <v>98</v>
      </c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61"/>
      <c r="AH25" s="51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2:57" ht="18.45" customHeight="1" x14ac:dyDescent="0.45">
      <c r="B26" s="260"/>
      <c r="C26" s="258"/>
      <c r="D26" s="258"/>
      <c r="E26" s="258"/>
      <c r="F26" s="258"/>
      <c r="G26" s="259"/>
      <c r="H26" s="53"/>
      <c r="I26" s="53"/>
      <c r="J26" s="53"/>
      <c r="K26" s="133"/>
      <c r="L26" s="133">
        <v>4</v>
      </c>
      <c r="M26" s="133" t="s">
        <v>29</v>
      </c>
      <c r="N26" s="133"/>
      <c r="O26" s="133"/>
      <c r="P26" s="133"/>
      <c r="Q26" s="133"/>
      <c r="R26" s="133"/>
      <c r="S26" s="133">
        <v>5</v>
      </c>
      <c r="T26" s="133" t="s">
        <v>28</v>
      </c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61"/>
      <c r="AH26" s="51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2:57" ht="18.45" customHeight="1" x14ac:dyDescent="0.45">
      <c r="B27" s="260"/>
      <c r="C27" s="258"/>
      <c r="D27" s="258"/>
      <c r="E27" s="258"/>
      <c r="F27" s="258"/>
      <c r="G27" s="259"/>
      <c r="H27" s="53"/>
      <c r="I27" s="53"/>
      <c r="J27" s="53"/>
      <c r="K27" s="133"/>
      <c r="L27" s="133">
        <v>6</v>
      </c>
      <c r="M27" s="133" t="s">
        <v>99</v>
      </c>
      <c r="N27" s="133"/>
      <c r="O27" s="133"/>
      <c r="P27" s="133"/>
      <c r="Q27" s="133"/>
      <c r="R27" s="133"/>
      <c r="S27" s="133">
        <v>7</v>
      </c>
      <c r="T27" s="133" t="s">
        <v>156</v>
      </c>
      <c r="U27" s="133"/>
      <c r="V27" s="133"/>
      <c r="W27" s="284" t="str">
        <f>IF(AF2=0,"",AF2)</f>
        <v/>
      </c>
      <c r="X27" s="285"/>
      <c r="Y27" s="285"/>
      <c r="Z27" s="285"/>
      <c r="AA27" s="285"/>
      <c r="AB27" s="133" t="s">
        <v>157</v>
      </c>
      <c r="AC27" s="133"/>
      <c r="AD27" s="133"/>
      <c r="AE27" s="61"/>
      <c r="AH27" s="51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2:57" ht="18.45" customHeight="1" x14ac:dyDescent="0.45">
      <c r="B28" s="260"/>
      <c r="C28" s="258"/>
      <c r="D28" s="258"/>
      <c r="E28" s="258"/>
      <c r="F28" s="258"/>
      <c r="G28" s="259"/>
      <c r="H28" s="53"/>
      <c r="I28" s="201">
        <f>AG2</f>
        <v>0</v>
      </c>
      <c r="J28" s="133" t="s">
        <v>44</v>
      </c>
      <c r="K28" s="133" t="s">
        <v>127</v>
      </c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61"/>
      <c r="AH28" s="51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2:57" ht="18.45" customHeight="1" x14ac:dyDescent="0.45">
      <c r="B29" s="260"/>
      <c r="C29" s="258"/>
      <c r="D29" s="258"/>
      <c r="E29" s="258"/>
      <c r="F29" s="258"/>
      <c r="G29" s="259"/>
      <c r="H29" s="53"/>
      <c r="I29" s="53"/>
      <c r="J29" s="132"/>
      <c r="K29" s="285" t="s">
        <v>160</v>
      </c>
      <c r="L29" s="285"/>
      <c r="M29" s="285"/>
      <c r="N29" s="285"/>
      <c r="O29" s="285"/>
      <c r="P29" s="285" t="str">
        <f>IF(AH2=0,"",AH2)</f>
        <v/>
      </c>
      <c r="Q29" s="285"/>
      <c r="R29" s="285"/>
      <c r="S29" s="285"/>
      <c r="T29" s="285"/>
      <c r="U29" s="285"/>
      <c r="V29" s="285"/>
      <c r="W29" s="285"/>
      <c r="X29" s="285"/>
      <c r="Y29" s="285"/>
      <c r="Z29" s="285"/>
      <c r="AA29" s="285"/>
      <c r="AB29" s="285"/>
      <c r="AC29" s="285"/>
      <c r="AD29" s="133" t="s">
        <v>157</v>
      </c>
      <c r="AE29" s="61"/>
      <c r="AH29" s="51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2:57" ht="19.8" x14ac:dyDescent="0.45">
      <c r="B30" s="261"/>
      <c r="C30" s="262"/>
      <c r="D30" s="262"/>
      <c r="E30" s="262"/>
      <c r="F30" s="262"/>
      <c r="G30" s="263"/>
      <c r="H30" s="60"/>
      <c r="I30" s="160" t="s">
        <v>164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61"/>
      <c r="AH30" s="51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132"/>
      <c r="BC30" s="53"/>
      <c r="BD30" s="53"/>
      <c r="BE30" s="53"/>
    </row>
    <row r="31" spans="2:57" ht="18.45" customHeight="1" x14ac:dyDescent="0.45">
      <c r="B31" s="264" t="s">
        <v>27</v>
      </c>
      <c r="C31" s="265"/>
      <c r="D31" s="265"/>
      <c r="E31" s="233"/>
      <c r="F31" s="233"/>
      <c r="G31" s="234"/>
      <c r="H31" s="85"/>
      <c r="I31" s="268" t="str">
        <f>AI2</f>
        <v>千葉県、茨城県</v>
      </c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70"/>
      <c r="AH31" s="51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2:57" ht="18.45" customHeight="1" x14ac:dyDescent="0.45">
      <c r="B32" s="235"/>
      <c r="C32" s="236"/>
      <c r="D32" s="236"/>
      <c r="E32" s="236"/>
      <c r="F32" s="233"/>
      <c r="G32" s="234"/>
      <c r="H32" s="71"/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2"/>
      <c r="AG32" s="53"/>
      <c r="AH32" s="59"/>
      <c r="AI32" s="139"/>
      <c r="AJ32" s="139"/>
      <c r="AK32" s="139"/>
      <c r="AL32" s="139"/>
      <c r="AM32" s="139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2:57" ht="18.45" customHeight="1" x14ac:dyDescent="0.45">
      <c r="B33" s="229" t="s">
        <v>26</v>
      </c>
      <c r="C33" s="230"/>
      <c r="D33" s="231"/>
      <c r="E33" s="238" t="s">
        <v>129</v>
      </c>
      <c r="F33" s="230"/>
      <c r="G33" s="231"/>
      <c r="H33" s="57"/>
      <c r="I33" s="268" t="str">
        <f>AK2</f>
        <v>千葉市中央区市場町１－１</v>
      </c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70"/>
      <c r="AG33" s="53"/>
      <c r="AH33" s="59"/>
      <c r="AI33" s="139"/>
      <c r="AJ33" s="139"/>
      <c r="AK33" s="139"/>
      <c r="AL33" s="139"/>
      <c r="AM33" s="139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2:57" ht="18.45" customHeight="1" x14ac:dyDescent="0.45">
      <c r="B34" s="232"/>
      <c r="C34" s="233"/>
      <c r="D34" s="234"/>
      <c r="E34" s="232"/>
      <c r="F34" s="233"/>
      <c r="G34" s="234"/>
      <c r="H34" s="5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4"/>
      <c r="AI34" s="139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2:57" ht="18.45" customHeight="1" x14ac:dyDescent="0.45">
      <c r="B35" s="232"/>
      <c r="C35" s="233"/>
      <c r="D35" s="234"/>
      <c r="E35" s="235"/>
      <c r="F35" s="236"/>
      <c r="G35" s="237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275" t="str">
        <f>AL2</f>
        <v>(043)223局0000番</v>
      </c>
      <c r="T35" s="276"/>
      <c r="U35" s="276"/>
      <c r="V35" s="276"/>
      <c r="W35" s="276"/>
      <c r="X35" s="276"/>
      <c r="Y35" s="276"/>
      <c r="Z35" s="276"/>
      <c r="AA35" s="276"/>
      <c r="AB35" s="276"/>
      <c r="AC35" s="276"/>
      <c r="AD35" s="276"/>
      <c r="AE35" s="70"/>
      <c r="AI35" s="139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2:57" ht="18.45" customHeight="1" x14ac:dyDescent="0.45">
      <c r="B36" s="232"/>
      <c r="C36" s="233"/>
      <c r="D36" s="234"/>
      <c r="E36" s="229" t="s">
        <v>25</v>
      </c>
      <c r="F36" s="239"/>
      <c r="G36" s="240"/>
      <c r="H36" s="54"/>
      <c r="I36" s="277" t="str">
        <f>AJ2</f>
        <v>千葉県●●課</v>
      </c>
      <c r="J36" s="277"/>
      <c r="K36" s="277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70"/>
      <c r="AI36" s="139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2:57" ht="18.45" customHeight="1" x14ac:dyDescent="0.45">
      <c r="B37" s="235"/>
      <c r="C37" s="236"/>
      <c r="D37" s="237"/>
      <c r="E37" s="241"/>
      <c r="F37" s="242"/>
      <c r="G37" s="243"/>
      <c r="H37" s="71"/>
      <c r="I37" s="271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2"/>
      <c r="AJ37" s="51"/>
      <c r="AK37" s="51"/>
      <c r="AL37" s="51"/>
      <c r="AM37" s="51"/>
    </row>
    <row r="38" spans="2:57" ht="18.45" customHeight="1" x14ac:dyDescent="0.45">
      <c r="B38" s="229" t="s">
        <v>165</v>
      </c>
      <c r="C38" s="230"/>
      <c r="D38" s="231"/>
      <c r="E38" s="238" t="s">
        <v>129</v>
      </c>
      <c r="F38" s="230"/>
      <c r="G38" s="231"/>
      <c r="H38" s="57"/>
      <c r="I38" s="278" t="str">
        <f>AN2</f>
        <v>千葉市中央区市場町１－１</v>
      </c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70"/>
      <c r="AJ38" s="51"/>
      <c r="AK38" s="51"/>
      <c r="AL38" s="51"/>
      <c r="AM38" s="51"/>
    </row>
    <row r="39" spans="2:57" ht="18.45" customHeight="1" x14ac:dyDescent="0.45">
      <c r="B39" s="232"/>
      <c r="C39" s="233"/>
      <c r="D39" s="234"/>
      <c r="E39" s="232"/>
      <c r="F39" s="233"/>
      <c r="G39" s="234"/>
      <c r="H39" s="5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4"/>
      <c r="AJ39" s="51"/>
      <c r="AK39" s="51"/>
      <c r="AL39" s="51"/>
      <c r="AM39" s="51"/>
    </row>
    <row r="40" spans="2:57" ht="18.45" customHeight="1" x14ac:dyDescent="0.45">
      <c r="B40" s="232"/>
      <c r="C40" s="233"/>
      <c r="D40" s="234"/>
      <c r="E40" s="235"/>
      <c r="F40" s="236"/>
      <c r="G40" s="237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279" t="str">
        <f>AO2</f>
        <v>(043)223番0000局</v>
      </c>
      <c r="T40" s="276"/>
      <c r="U40" s="276"/>
      <c r="V40" s="276"/>
      <c r="W40" s="276"/>
      <c r="X40" s="276"/>
      <c r="Y40" s="276"/>
      <c r="Z40" s="276"/>
      <c r="AA40" s="276"/>
      <c r="AB40" s="276"/>
      <c r="AC40" s="276"/>
      <c r="AD40" s="276"/>
      <c r="AE40" s="70"/>
      <c r="AJ40" s="51"/>
      <c r="AK40" s="51"/>
      <c r="AL40" s="51"/>
      <c r="AM40" s="51"/>
    </row>
    <row r="41" spans="2:57" ht="18.45" customHeight="1" x14ac:dyDescent="0.45">
      <c r="B41" s="232"/>
      <c r="C41" s="233"/>
      <c r="D41" s="234"/>
      <c r="E41" s="229" t="s">
        <v>25</v>
      </c>
      <c r="F41" s="239"/>
      <c r="G41" s="240"/>
      <c r="H41" s="54"/>
      <c r="I41" s="277" t="str">
        <f>AM2</f>
        <v>千葉県●●課</v>
      </c>
      <c r="J41" s="277"/>
      <c r="K41" s="277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70"/>
      <c r="AJ41" s="51"/>
      <c r="AK41" s="51"/>
      <c r="AL41" s="51"/>
      <c r="AM41" s="51"/>
    </row>
    <row r="42" spans="2:57" ht="18.45" customHeight="1" x14ac:dyDescent="0.45">
      <c r="B42" s="235"/>
      <c r="C42" s="236"/>
      <c r="D42" s="237"/>
      <c r="E42" s="241"/>
      <c r="F42" s="242"/>
      <c r="G42" s="243"/>
      <c r="H42" s="71"/>
      <c r="I42" s="271"/>
      <c r="J42" s="271"/>
      <c r="K42" s="271"/>
      <c r="L42" s="271"/>
      <c r="M42" s="271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1"/>
      <c r="Y42" s="271"/>
      <c r="Z42" s="271"/>
      <c r="AA42" s="271"/>
      <c r="AB42" s="271"/>
      <c r="AC42" s="271"/>
      <c r="AD42" s="271"/>
      <c r="AE42" s="272"/>
    </row>
    <row r="43" spans="2:57" ht="6" customHeight="1" x14ac:dyDescent="0.45">
      <c r="B43" s="72"/>
      <c r="C43" s="56"/>
      <c r="D43" s="56"/>
      <c r="E43" s="56"/>
      <c r="F43" s="56"/>
      <c r="G43" s="73"/>
      <c r="H43" s="74"/>
      <c r="I43" s="55"/>
      <c r="J43" s="140"/>
      <c r="K43" s="140"/>
      <c r="L43" s="55"/>
      <c r="M43" s="75"/>
      <c r="N43" s="55"/>
      <c r="O43" s="55"/>
      <c r="P43" s="76"/>
      <c r="Q43" s="76"/>
      <c r="R43" s="55"/>
      <c r="S43" s="55"/>
      <c r="T43" s="77"/>
      <c r="U43" s="77"/>
      <c r="V43" s="55"/>
      <c r="W43" s="55"/>
      <c r="X43" s="55"/>
      <c r="Y43" s="55"/>
      <c r="Z43" s="57"/>
      <c r="AA43" s="57"/>
      <c r="AB43" s="57"/>
      <c r="AC43" s="57"/>
      <c r="AD43" s="57"/>
      <c r="AE43" s="58"/>
      <c r="AH43" s="51"/>
      <c r="AI43" s="51"/>
      <c r="AJ43" s="51"/>
      <c r="AK43" s="51"/>
      <c r="AL43" s="51"/>
      <c r="AM43" s="51"/>
    </row>
    <row r="44" spans="2:57" ht="16.2" customHeight="1" x14ac:dyDescent="0.45">
      <c r="B44" s="174"/>
      <c r="C44" s="170"/>
      <c r="D44" s="170"/>
      <c r="E44" s="170"/>
      <c r="F44" s="170"/>
      <c r="G44" s="175"/>
      <c r="H44" s="157" t="s">
        <v>23</v>
      </c>
      <c r="I44" s="159">
        <f>AQ2</f>
        <v>1</v>
      </c>
      <c r="J44" s="169"/>
      <c r="K44" s="280" t="s">
        <v>179</v>
      </c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1"/>
      <c r="AH44" s="51"/>
      <c r="AI44" s="51"/>
      <c r="AJ44" s="51"/>
      <c r="AK44" s="51"/>
      <c r="AL44" s="51"/>
      <c r="AM44" s="51"/>
    </row>
    <row r="45" spans="2:57" ht="16.2" customHeight="1" x14ac:dyDescent="0.45">
      <c r="B45" s="246" t="s">
        <v>128</v>
      </c>
      <c r="C45" s="249"/>
      <c r="D45" s="249"/>
      <c r="E45" s="249"/>
      <c r="F45" s="249"/>
      <c r="G45" s="250"/>
      <c r="H45" s="157" t="s">
        <v>23</v>
      </c>
      <c r="I45" s="159">
        <f>AR2</f>
        <v>5</v>
      </c>
      <c r="J45" s="142"/>
      <c r="K45" s="289" t="s">
        <v>235</v>
      </c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90"/>
      <c r="AH45" s="51"/>
      <c r="AI45" s="51"/>
      <c r="AJ45" s="51"/>
      <c r="AK45" s="176"/>
      <c r="AL45" s="51"/>
      <c r="AM45" s="51"/>
    </row>
    <row r="46" spans="2:57" ht="16.2" customHeight="1" x14ac:dyDescent="0.45">
      <c r="B46" s="246"/>
      <c r="C46" s="249"/>
      <c r="D46" s="249"/>
      <c r="E46" s="249"/>
      <c r="F46" s="249"/>
      <c r="G46" s="250"/>
      <c r="H46" s="157"/>
      <c r="I46" s="287" t="s">
        <v>75</v>
      </c>
      <c r="J46" s="249"/>
      <c r="K46" s="249"/>
      <c r="L46" s="249"/>
      <c r="M46" s="249"/>
      <c r="N46" s="288" t="str">
        <f>AS2</f>
        <v>千葉県</v>
      </c>
      <c r="O46" s="288"/>
      <c r="P46" s="288"/>
      <c r="Q46" s="288"/>
      <c r="R46" s="288"/>
      <c r="S46" s="288"/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61"/>
      <c r="AH46" s="51"/>
      <c r="AI46" s="51"/>
      <c r="AJ46" s="51"/>
      <c r="AK46" s="51"/>
      <c r="AL46" s="51"/>
      <c r="AM46" s="51"/>
    </row>
    <row r="47" spans="2:57" ht="16.2" customHeight="1" x14ac:dyDescent="0.45">
      <c r="B47" s="246"/>
      <c r="C47" s="249"/>
      <c r="D47" s="249"/>
      <c r="E47" s="249"/>
      <c r="F47" s="249"/>
      <c r="G47" s="250"/>
      <c r="H47" s="157" t="s">
        <v>23</v>
      </c>
      <c r="I47" s="159">
        <f>AT2</f>
        <v>0</v>
      </c>
      <c r="J47" s="142"/>
      <c r="K47" s="266" t="s">
        <v>22</v>
      </c>
      <c r="L47" s="266"/>
      <c r="M47" s="266"/>
      <c r="N47" s="266"/>
      <c r="O47" s="266"/>
      <c r="P47" s="266"/>
      <c r="Q47" s="266"/>
      <c r="R47" s="266"/>
      <c r="S47" s="266"/>
      <c r="T47" s="266"/>
      <c r="U47" s="266"/>
      <c r="V47" s="266"/>
      <c r="W47" s="266"/>
      <c r="X47" s="266"/>
      <c r="Y47" s="266"/>
      <c r="Z47" s="266"/>
      <c r="AA47" s="266"/>
      <c r="AB47" s="266"/>
      <c r="AC47" s="266"/>
      <c r="AD47" s="266"/>
      <c r="AE47" s="267"/>
      <c r="AH47" s="51"/>
      <c r="AI47" s="51"/>
      <c r="AJ47" s="51"/>
      <c r="AK47" s="51"/>
      <c r="AL47" s="51"/>
      <c r="AM47" s="51"/>
    </row>
    <row r="48" spans="2:57" ht="16.2" customHeight="1" x14ac:dyDescent="0.45">
      <c r="B48" s="251"/>
      <c r="C48" s="249"/>
      <c r="D48" s="249"/>
      <c r="E48" s="249"/>
      <c r="F48" s="249"/>
      <c r="G48" s="250"/>
      <c r="H48" s="157" t="s">
        <v>21</v>
      </c>
      <c r="I48" s="200">
        <f>AY2</f>
        <v>1</v>
      </c>
      <c r="J48" s="158"/>
      <c r="K48" s="266" t="s">
        <v>20</v>
      </c>
      <c r="L48" s="266"/>
      <c r="M48" s="266"/>
      <c r="N48" s="266"/>
      <c r="O48" s="266"/>
      <c r="P48" s="266"/>
      <c r="Q48" s="266"/>
      <c r="R48" s="266"/>
      <c r="S48" s="282" t="str">
        <f>IF(AT2=1,AU1,"")</f>
        <v/>
      </c>
      <c r="T48" s="282"/>
      <c r="U48" s="282"/>
      <c r="V48" s="282"/>
      <c r="W48" s="283" t="str">
        <f>IF(AU2=0,"",AU2)</f>
        <v/>
      </c>
      <c r="X48" s="283"/>
      <c r="Y48" s="283"/>
      <c r="Z48" s="283"/>
      <c r="AA48" s="283"/>
      <c r="AB48" s="212"/>
      <c r="AC48" s="212"/>
      <c r="AD48" s="212"/>
      <c r="AE48" s="213"/>
      <c r="AH48" s="51"/>
      <c r="AI48" s="51"/>
      <c r="AJ48" s="51"/>
      <c r="AK48" s="51"/>
      <c r="AL48" s="51"/>
      <c r="AM48" s="51"/>
    </row>
    <row r="49" spans="2:39" ht="18.45" customHeight="1" x14ac:dyDescent="0.45">
      <c r="B49" s="78"/>
      <c r="C49" s="79"/>
      <c r="D49" s="79"/>
      <c r="E49" s="79"/>
      <c r="F49" s="79"/>
      <c r="G49" s="80"/>
      <c r="H49" s="81"/>
      <c r="I49" s="156" t="s">
        <v>163</v>
      </c>
      <c r="J49" s="137"/>
      <c r="K49" s="137"/>
      <c r="L49" s="82"/>
      <c r="M49" s="69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69"/>
      <c r="AD49" s="69"/>
      <c r="AE49" s="70"/>
      <c r="AH49" s="51"/>
      <c r="AI49" s="51"/>
      <c r="AJ49" s="51"/>
      <c r="AK49" s="51"/>
      <c r="AL49" s="51"/>
      <c r="AM49" s="51"/>
    </row>
    <row r="50" spans="2:39" ht="18.45" customHeight="1" x14ac:dyDescent="0.45">
      <c r="B50" s="1" t="s">
        <v>19</v>
      </c>
      <c r="M50" s="57"/>
    </row>
    <row r="51" spans="2:39" ht="18.45" customHeight="1" x14ac:dyDescent="0.45">
      <c r="B51" s="83"/>
      <c r="C51" s="83"/>
      <c r="D51" s="83"/>
      <c r="E51" s="83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</row>
    <row r="52" spans="2:39" ht="18.45" customHeight="1" x14ac:dyDescent="0.45">
      <c r="B52" s="83"/>
      <c r="C52" s="83"/>
      <c r="D52" s="83"/>
      <c r="E52" s="83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</row>
  </sheetData>
  <sheetProtection selectLockedCells="1"/>
  <mergeCells count="40">
    <mergeCell ref="K48:R48"/>
    <mergeCell ref="S48:V48"/>
    <mergeCell ref="W48:AA48"/>
    <mergeCell ref="L1:N1"/>
    <mergeCell ref="Q1:T1"/>
    <mergeCell ref="W27:AA27"/>
    <mergeCell ref="P24:R24"/>
    <mergeCell ref="I46:M46"/>
    <mergeCell ref="N46:AD46"/>
    <mergeCell ref="K29:O29"/>
    <mergeCell ref="P29:AC29"/>
    <mergeCell ref="K45:AE45"/>
    <mergeCell ref="G1:K1"/>
    <mergeCell ref="B13:G14"/>
    <mergeCell ref="I13:AD14"/>
    <mergeCell ref="V5:W5"/>
    <mergeCell ref="K47:AE47"/>
    <mergeCell ref="I31:AE32"/>
    <mergeCell ref="I33:AE34"/>
    <mergeCell ref="S35:AD35"/>
    <mergeCell ref="I36:AE37"/>
    <mergeCell ref="I38:AE39"/>
    <mergeCell ref="S40:AD40"/>
    <mergeCell ref="I41:AE42"/>
    <mergeCell ref="K44:AE44"/>
    <mergeCell ref="B45:G48"/>
    <mergeCell ref="B15:G30"/>
    <mergeCell ref="B31:G32"/>
    <mergeCell ref="B33:D37"/>
    <mergeCell ref="E33:G35"/>
    <mergeCell ref="E36:G37"/>
    <mergeCell ref="U9:AE9"/>
    <mergeCell ref="U11:AE11"/>
    <mergeCell ref="T5:U5"/>
    <mergeCell ref="B38:D42"/>
    <mergeCell ref="E38:G40"/>
    <mergeCell ref="E41:G42"/>
    <mergeCell ref="Y5:Z5"/>
    <mergeCell ref="AB5:AC5"/>
    <mergeCell ref="B7:AE7"/>
  </mergeCells>
  <phoneticPr fontId="1"/>
  <conditionalFormatting sqref="S48:V48">
    <cfRule type="expression" dxfId="0" priority="1">
      <formula>AT2=1</formula>
    </cfRule>
  </conditionalFormatting>
  <dataValidations count="2">
    <dataValidation type="list" allowBlank="1" showInputMessage="1" showErrorMessage="1" sqref="AG1" xr:uid="{F2BB8EB9-7254-4343-BEDD-73EAC4B81411}">
      <formula1>"○"</formula1>
    </dataValidation>
    <dataValidation type="list" allowBlank="1" showInputMessage="1" prompt="半角数字で入力_x000a_１　災害対策基本法_x000a_２　原子力災害対策基本法_x000a_３　国民保護法_x000a_から選択_x000a_大地震法に基づく場合は_x000a_個別に相談してください。" sqref="AQ1" xr:uid="{6093C692-634F-4157-A3A3-03B790514EB8}">
      <formula1>"1,2,3"</formula1>
    </dataValidation>
  </dataValidations>
  <pageMargins left="0.98425196850393704" right="0.39370078740157483" top="0.98425196850393704" bottom="0.39370078740157483" header="0" footer="0"/>
  <pageSetup paperSize="9" scale="8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主たる用務の_x000a_コードを選択_x000a_コードはア～ケ_x000a_詳細はリストのシート_x000a_を確認" xr:uid="{68CCA196-E988-49AC-A890-FCBE4A9D3C9F}">
          <x14:formula1>
            <xm:f>リスト!$B$3:$B$11</xm:f>
          </x14:formula1>
          <xm:sqref>U1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C9D21-9637-4220-886D-7071504B2A45}">
  <dimension ref="A1:O43"/>
  <sheetViews>
    <sheetView workbookViewId="0">
      <selection activeCell="G32" sqref="G32"/>
    </sheetView>
  </sheetViews>
  <sheetFormatPr defaultRowHeight="18" x14ac:dyDescent="0.45"/>
  <cols>
    <col min="3" max="3" width="9.3984375" bestFit="1" customWidth="1"/>
  </cols>
  <sheetData>
    <row r="1" spans="1:13" x14ac:dyDescent="0.45">
      <c r="A1" s="130"/>
      <c r="B1" s="130"/>
    </row>
    <row r="2" spans="1:13" ht="19.8" x14ac:dyDescent="0.45">
      <c r="B2" s="11" t="s">
        <v>61</v>
      </c>
      <c r="C2" s="11"/>
      <c r="D2" s="11"/>
      <c r="E2" s="11"/>
      <c r="F2" s="11"/>
      <c r="G2" s="11"/>
      <c r="H2" s="11"/>
      <c r="I2" s="11"/>
      <c r="J2" s="11"/>
      <c r="K2" s="11"/>
      <c r="L2" t="s">
        <v>186</v>
      </c>
    </row>
    <row r="3" spans="1:13" ht="19.8" x14ac:dyDescent="0.45">
      <c r="B3" s="35" t="s">
        <v>38</v>
      </c>
      <c r="C3" s="33" t="s">
        <v>37</v>
      </c>
      <c r="D3" s="33"/>
      <c r="E3" s="33"/>
      <c r="F3" s="33"/>
      <c r="G3" s="33"/>
      <c r="H3" s="33"/>
      <c r="I3" s="34"/>
      <c r="J3" s="11"/>
      <c r="K3" s="11"/>
      <c r="L3" s="178" t="s">
        <v>187</v>
      </c>
      <c r="M3" s="178" t="s">
        <v>188</v>
      </c>
    </row>
    <row r="4" spans="1:13" ht="19.8" x14ac:dyDescent="0.45">
      <c r="B4" s="35" t="s">
        <v>52</v>
      </c>
      <c r="C4" s="33" t="s">
        <v>36</v>
      </c>
      <c r="D4" s="33"/>
      <c r="E4" s="33"/>
      <c r="F4" s="33"/>
      <c r="G4" s="33"/>
      <c r="H4" s="33"/>
      <c r="I4" s="34"/>
      <c r="J4" s="11"/>
      <c r="K4" s="11"/>
      <c r="L4" s="23" t="s">
        <v>189</v>
      </c>
      <c r="M4" s="23">
        <v>441015</v>
      </c>
    </row>
    <row r="5" spans="1:13" ht="19.8" x14ac:dyDescent="0.45">
      <c r="B5" s="35" t="s">
        <v>51</v>
      </c>
      <c r="C5" s="33" t="s">
        <v>35</v>
      </c>
      <c r="D5" s="33"/>
      <c r="E5" s="33"/>
      <c r="F5" s="33"/>
      <c r="G5" s="33"/>
      <c r="H5" s="33"/>
      <c r="I5" s="34"/>
      <c r="J5" s="11"/>
      <c r="K5" s="11"/>
      <c r="L5" s="23" t="s">
        <v>190</v>
      </c>
      <c r="M5" s="23">
        <v>441406</v>
      </c>
    </row>
    <row r="6" spans="1:13" ht="19.8" x14ac:dyDescent="0.45">
      <c r="B6" s="35" t="s">
        <v>50</v>
      </c>
      <c r="C6" s="33" t="s">
        <v>34</v>
      </c>
      <c r="D6" s="33"/>
      <c r="E6" s="33"/>
      <c r="F6" s="33"/>
      <c r="G6" s="33"/>
      <c r="H6" s="33"/>
      <c r="I6" s="34"/>
      <c r="J6" s="11"/>
      <c r="K6" s="11"/>
      <c r="L6" s="23" t="s">
        <v>191</v>
      </c>
      <c r="M6" s="23">
        <v>441341</v>
      </c>
    </row>
    <row r="7" spans="1:13" ht="19.8" x14ac:dyDescent="0.45">
      <c r="B7" s="35" t="s">
        <v>49</v>
      </c>
      <c r="C7" s="33" t="s">
        <v>33</v>
      </c>
      <c r="D7" s="33"/>
      <c r="E7" s="33"/>
      <c r="F7" s="33"/>
      <c r="G7" s="33"/>
      <c r="H7" s="33"/>
      <c r="I7" s="34"/>
      <c r="J7" s="11"/>
      <c r="K7" s="11"/>
      <c r="L7" s="23" t="s">
        <v>192</v>
      </c>
      <c r="M7" s="23">
        <v>441023</v>
      </c>
    </row>
    <row r="8" spans="1:13" ht="19.8" x14ac:dyDescent="0.45">
      <c r="B8" s="35" t="s">
        <v>48</v>
      </c>
      <c r="C8" s="33" t="s">
        <v>32</v>
      </c>
      <c r="D8" s="33"/>
      <c r="E8" s="33"/>
      <c r="F8" s="33"/>
      <c r="G8" s="33"/>
      <c r="H8" s="33"/>
      <c r="I8" s="34"/>
      <c r="J8" s="11"/>
      <c r="K8" s="11"/>
      <c r="L8" s="23" t="s">
        <v>193</v>
      </c>
      <c r="M8" s="23">
        <v>441422</v>
      </c>
    </row>
    <row r="9" spans="1:13" ht="19.8" x14ac:dyDescent="0.45">
      <c r="B9" s="35" t="s">
        <v>47</v>
      </c>
      <c r="C9" s="33" t="s">
        <v>31</v>
      </c>
      <c r="D9" s="33"/>
      <c r="E9" s="33"/>
      <c r="F9" s="33"/>
      <c r="G9" s="33"/>
      <c r="H9" s="33"/>
      <c r="I9" s="34"/>
      <c r="J9" s="11"/>
      <c r="K9" s="11"/>
      <c r="L9" s="23" t="s">
        <v>194</v>
      </c>
      <c r="M9" s="23">
        <v>441031</v>
      </c>
    </row>
    <row r="10" spans="1:13" ht="19.8" x14ac:dyDescent="0.45">
      <c r="B10" s="35" t="s">
        <v>46</v>
      </c>
      <c r="C10" s="33" t="s">
        <v>45</v>
      </c>
      <c r="D10" s="33"/>
      <c r="E10" s="33"/>
      <c r="F10" s="33"/>
      <c r="G10" s="33"/>
      <c r="H10" s="33"/>
      <c r="I10" s="34"/>
      <c r="J10" s="11"/>
      <c r="K10" s="11"/>
      <c r="L10" s="23" t="s">
        <v>195</v>
      </c>
      <c r="M10" s="23">
        <v>441350</v>
      </c>
    </row>
    <row r="11" spans="1:13" ht="19.8" x14ac:dyDescent="0.45">
      <c r="B11" s="35" t="s">
        <v>44</v>
      </c>
      <c r="C11" s="33" t="s">
        <v>124</v>
      </c>
      <c r="D11" s="33"/>
      <c r="E11" s="33"/>
      <c r="F11" s="33"/>
      <c r="G11" s="33"/>
      <c r="H11" s="33"/>
      <c r="I11" s="34"/>
      <c r="J11" s="11"/>
      <c r="K11" s="11"/>
      <c r="L11" s="23" t="s">
        <v>196</v>
      </c>
      <c r="M11" s="23">
        <v>441040</v>
      </c>
    </row>
    <row r="12" spans="1:13" ht="19.8" x14ac:dyDescent="0.45">
      <c r="B12" s="11" t="s">
        <v>170</v>
      </c>
      <c r="C12" s="11"/>
      <c r="D12" s="11"/>
      <c r="E12" s="11"/>
      <c r="F12" s="11"/>
      <c r="G12" s="11"/>
      <c r="H12" s="11"/>
      <c r="I12" s="11"/>
      <c r="J12" s="11"/>
      <c r="K12" s="11"/>
      <c r="L12" s="23" t="s">
        <v>197</v>
      </c>
      <c r="M12" s="23">
        <v>441368</v>
      </c>
    </row>
    <row r="13" spans="1:13" ht="19.8" x14ac:dyDescent="0.45">
      <c r="B13" s="11" t="s">
        <v>171</v>
      </c>
      <c r="C13" s="11"/>
      <c r="D13" s="11"/>
      <c r="E13" s="11"/>
      <c r="F13" s="11"/>
      <c r="G13" s="11"/>
      <c r="H13" s="11"/>
      <c r="I13" s="11"/>
      <c r="J13" s="11"/>
      <c r="K13" s="11"/>
      <c r="L13" s="23" t="s">
        <v>198</v>
      </c>
      <c r="M13" s="23">
        <v>441414</v>
      </c>
    </row>
    <row r="14" spans="1:13" ht="19.8" x14ac:dyDescent="0.45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3" t="s">
        <v>199</v>
      </c>
      <c r="M14" s="23">
        <v>441058</v>
      </c>
    </row>
    <row r="15" spans="1:13" ht="19.8" x14ac:dyDescent="0.45">
      <c r="B15" s="11" t="s">
        <v>112</v>
      </c>
      <c r="C15" s="11"/>
      <c r="D15" s="11"/>
      <c r="E15" s="11"/>
      <c r="F15" s="11"/>
      <c r="G15" s="11"/>
      <c r="H15" s="11"/>
      <c r="I15" s="11"/>
      <c r="J15" s="11"/>
      <c r="K15" s="11"/>
      <c r="L15" s="23" t="s">
        <v>200</v>
      </c>
      <c r="M15" s="23">
        <v>441431</v>
      </c>
    </row>
    <row r="16" spans="1:13" ht="19.8" x14ac:dyDescent="0.45">
      <c r="B16" s="35">
        <v>1</v>
      </c>
      <c r="C16" s="33" t="s">
        <v>161</v>
      </c>
      <c r="D16" s="36"/>
      <c r="E16" s="34"/>
      <c r="F16" s="11"/>
      <c r="G16" s="11"/>
      <c r="H16" s="11"/>
      <c r="I16" s="11"/>
      <c r="J16" s="11"/>
      <c r="K16" s="11"/>
      <c r="L16" s="23" t="s">
        <v>201</v>
      </c>
      <c r="M16" s="23">
        <v>441066</v>
      </c>
    </row>
    <row r="17" spans="2:15" ht="19.8" x14ac:dyDescent="0.45">
      <c r="B17" s="35">
        <v>2</v>
      </c>
      <c r="C17" s="33" t="s">
        <v>30</v>
      </c>
      <c r="D17" s="36"/>
      <c r="E17" s="34"/>
      <c r="F17" s="11"/>
      <c r="G17" s="11"/>
      <c r="H17" s="11"/>
      <c r="I17" s="11"/>
      <c r="J17" s="11"/>
      <c r="K17" s="11"/>
      <c r="L17" s="23" t="s">
        <v>202</v>
      </c>
      <c r="M17" s="23">
        <v>441074</v>
      </c>
    </row>
    <row r="18" spans="2:15" ht="19.8" x14ac:dyDescent="0.45">
      <c r="B18" s="35">
        <v>3</v>
      </c>
      <c r="C18" s="33" t="s">
        <v>98</v>
      </c>
      <c r="D18" s="36"/>
      <c r="E18" s="34"/>
      <c r="F18" s="11"/>
      <c r="G18" s="11"/>
      <c r="H18" s="11"/>
      <c r="I18" s="11"/>
      <c r="J18" s="11"/>
      <c r="K18" s="11"/>
      <c r="L18" s="23" t="s">
        <v>203</v>
      </c>
      <c r="M18" s="23">
        <v>441384</v>
      </c>
    </row>
    <row r="19" spans="2:15" ht="19.8" x14ac:dyDescent="0.45">
      <c r="B19" s="35">
        <v>4</v>
      </c>
      <c r="C19" s="33" t="s">
        <v>29</v>
      </c>
      <c r="D19" s="36"/>
      <c r="E19" s="34"/>
      <c r="F19" s="11"/>
      <c r="G19" s="11"/>
      <c r="H19" s="11"/>
      <c r="I19" s="11"/>
      <c r="J19" s="11"/>
      <c r="K19" s="11"/>
      <c r="L19" s="23" t="s">
        <v>204</v>
      </c>
      <c r="M19" s="23">
        <v>441082</v>
      </c>
    </row>
    <row r="20" spans="2:15" ht="19.8" x14ac:dyDescent="0.45">
      <c r="B20" s="35">
        <v>5</v>
      </c>
      <c r="C20" s="33" t="s">
        <v>28</v>
      </c>
      <c r="D20" s="36"/>
      <c r="E20" s="34"/>
      <c r="F20" s="11"/>
      <c r="G20" s="11"/>
      <c r="H20" s="11"/>
      <c r="I20" s="11"/>
      <c r="J20" s="11"/>
      <c r="K20" s="11"/>
      <c r="L20" s="23" t="s">
        <v>205</v>
      </c>
      <c r="M20" s="23">
        <v>441091</v>
      </c>
    </row>
    <row r="21" spans="2:15" ht="19.8" x14ac:dyDescent="0.45">
      <c r="B21" s="35">
        <v>6</v>
      </c>
      <c r="C21" s="33" t="s">
        <v>99</v>
      </c>
      <c r="D21" s="36"/>
      <c r="E21" s="34"/>
      <c r="F21" s="11"/>
      <c r="G21" s="11"/>
      <c r="H21" s="11"/>
      <c r="I21" s="11"/>
      <c r="J21" s="11"/>
      <c r="K21" s="11"/>
      <c r="L21" s="23" t="s">
        <v>206</v>
      </c>
      <c r="M21" s="23">
        <v>441392</v>
      </c>
    </row>
    <row r="22" spans="2:15" ht="19.8" x14ac:dyDescent="0.45">
      <c r="B22" s="35">
        <v>7</v>
      </c>
      <c r="C22" s="33" t="s">
        <v>162</v>
      </c>
      <c r="D22" s="36"/>
      <c r="E22" s="34"/>
      <c r="F22" s="11"/>
      <c r="G22" s="11"/>
      <c r="H22" s="11"/>
      <c r="I22" s="11"/>
      <c r="J22" s="11"/>
      <c r="K22" s="11"/>
      <c r="L22" s="23" t="s">
        <v>207</v>
      </c>
      <c r="M22" s="23">
        <v>441376</v>
      </c>
    </row>
    <row r="23" spans="2:15" ht="19.8" x14ac:dyDescent="0.45">
      <c r="B23" s="21" t="s">
        <v>175</v>
      </c>
      <c r="D23" s="11"/>
      <c r="E23" s="11"/>
      <c r="F23" s="11"/>
      <c r="G23" s="11"/>
      <c r="H23" s="11"/>
      <c r="I23" s="11"/>
      <c r="J23" s="11"/>
      <c r="K23" s="11"/>
      <c r="L23" s="23" t="s">
        <v>208</v>
      </c>
      <c r="M23" s="23">
        <v>441104</v>
      </c>
    </row>
    <row r="24" spans="2:15" ht="19.8" x14ac:dyDescent="0.45">
      <c r="B24" s="21" t="s">
        <v>176</v>
      </c>
      <c r="C24" s="11"/>
      <c r="D24" s="11"/>
      <c r="E24" s="11"/>
      <c r="F24" s="11"/>
      <c r="G24" s="11"/>
      <c r="H24" s="11"/>
      <c r="I24" s="11"/>
      <c r="J24" s="11"/>
      <c r="K24" s="11"/>
      <c r="L24" s="23" t="s">
        <v>209</v>
      </c>
      <c r="M24" s="23">
        <v>441449</v>
      </c>
    </row>
    <row r="25" spans="2:15" ht="19.8" x14ac:dyDescent="0.4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23" t="s">
        <v>210</v>
      </c>
      <c r="M25" s="23">
        <v>441112</v>
      </c>
      <c r="N25" s="11"/>
      <c r="O25" s="11"/>
    </row>
    <row r="26" spans="2:15" ht="19.8" x14ac:dyDescent="0.4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23" t="s">
        <v>211</v>
      </c>
      <c r="M26" s="23">
        <v>441147</v>
      </c>
      <c r="N26" s="11"/>
      <c r="O26" s="11"/>
    </row>
    <row r="27" spans="2:15" x14ac:dyDescent="0.45">
      <c r="B27" t="s">
        <v>113</v>
      </c>
      <c r="L27" s="23" t="s">
        <v>212</v>
      </c>
      <c r="M27" s="23">
        <v>441121</v>
      </c>
    </row>
    <row r="28" spans="2:15" x14ac:dyDescent="0.45">
      <c r="B28" s="23" t="s">
        <v>53</v>
      </c>
      <c r="L28" s="23" t="s">
        <v>213</v>
      </c>
      <c r="M28" s="23">
        <v>441139</v>
      </c>
    </row>
    <row r="29" spans="2:15" x14ac:dyDescent="0.45">
      <c r="B29" s="23" t="s">
        <v>104</v>
      </c>
      <c r="L29" s="23" t="s">
        <v>214</v>
      </c>
      <c r="M29" s="23">
        <v>441163</v>
      </c>
    </row>
    <row r="30" spans="2:15" x14ac:dyDescent="0.45">
      <c r="B30" s="23" t="s">
        <v>103</v>
      </c>
      <c r="L30" s="23" t="s">
        <v>215</v>
      </c>
      <c r="M30" s="23">
        <v>441171</v>
      </c>
    </row>
    <row r="31" spans="2:15" x14ac:dyDescent="0.45">
      <c r="B31" s="23" t="s">
        <v>105</v>
      </c>
      <c r="L31" s="23" t="s">
        <v>216</v>
      </c>
      <c r="M31" s="23">
        <v>441180</v>
      </c>
    </row>
    <row r="32" spans="2:15" x14ac:dyDescent="0.45">
      <c r="B32" s="23" t="s">
        <v>106</v>
      </c>
      <c r="L32" s="23" t="s">
        <v>217</v>
      </c>
      <c r="M32" s="23">
        <v>441198</v>
      </c>
    </row>
    <row r="33" spans="2:13" x14ac:dyDescent="0.45">
      <c r="B33" s="23" t="s">
        <v>109</v>
      </c>
      <c r="L33" s="23" t="s">
        <v>218</v>
      </c>
      <c r="M33" s="23">
        <v>441201</v>
      </c>
    </row>
    <row r="34" spans="2:13" x14ac:dyDescent="0.45">
      <c r="B34" s="23" t="s">
        <v>110</v>
      </c>
      <c r="L34" s="23" t="s">
        <v>219</v>
      </c>
      <c r="M34" s="23">
        <v>441210</v>
      </c>
    </row>
    <row r="35" spans="2:13" x14ac:dyDescent="0.45">
      <c r="B35" s="23" t="s">
        <v>107</v>
      </c>
      <c r="L35" s="23" t="s">
        <v>220</v>
      </c>
      <c r="M35" s="23">
        <v>441236</v>
      </c>
    </row>
    <row r="36" spans="2:13" x14ac:dyDescent="0.45">
      <c r="B36" s="23" t="s">
        <v>108</v>
      </c>
      <c r="L36" s="23" t="s">
        <v>221</v>
      </c>
      <c r="M36" s="23">
        <v>441252</v>
      </c>
    </row>
    <row r="37" spans="2:13" x14ac:dyDescent="0.45">
      <c r="B37" s="23" t="s">
        <v>111</v>
      </c>
      <c r="L37" s="23" t="s">
        <v>222</v>
      </c>
      <c r="M37" s="23">
        <v>441261</v>
      </c>
    </row>
    <row r="38" spans="2:13" x14ac:dyDescent="0.45">
      <c r="L38" s="23" t="s">
        <v>223</v>
      </c>
      <c r="M38" s="23">
        <v>441287</v>
      </c>
    </row>
    <row r="39" spans="2:13" x14ac:dyDescent="0.45">
      <c r="L39" s="23" t="s">
        <v>224</v>
      </c>
      <c r="M39" s="23">
        <v>441295</v>
      </c>
    </row>
    <row r="40" spans="2:13" x14ac:dyDescent="0.45">
      <c r="L40" s="23" t="s">
        <v>225</v>
      </c>
      <c r="M40" s="23">
        <v>441309</v>
      </c>
    </row>
    <row r="41" spans="2:13" x14ac:dyDescent="0.45">
      <c r="L41" s="23" t="s">
        <v>226</v>
      </c>
      <c r="M41" s="23">
        <v>441317</v>
      </c>
    </row>
    <row r="42" spans="2:13" x14ac:dyDescent="0.45">
      <c r="L42" s="23" t="s">
        <v>227</v>
      </c>
      <c r="M42" s="23">
        <v>441333</v>
      </c>
    </row>
    <row r="43" spans="2:13" x14ac:dyDescent="0.45">
      <c r="L43" s="23" t="s">
        <v>228</v>
      </c>
      <c r="M43" s="23">
        <v>440591</v>
      </c>
    </row>
  </sheetData>
  <sheetProtection select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別記様式第１</vt:lpstr>
      <vt:lpstr>申出書</vt:lpstr>
      <vt:lpstr>リスト</vt:lpstr>
      <vt:lpstr>申出書!Print_Area</vt:lpstr>
      <vt:lpstr>別記様式第１!Print_Area</vt:lpstr>
      <vt:lpstr>別記様式第１!Print_Titles</vt:lpstr>
      <vt:lpstr>警察署コード</vt:lpstr>
      <vt:lpstr>署コード</vt:lpstr>
      <vt:lpstr>用途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2024-11-26T07:31:33Z</dcterms:created>
  <dcterms:modified xsi:type="dcterms:W3CDTF">2024-11-26T07:31:47Z</dcterms:modified>
</cp:coreProperties>
</file>